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ABORAÇÃO NOVO PROCESSO TRANSPORTE ESCOLAR\PLANILHA COMPOSIÇÃO DE CUSTO\"/>
    </mc:Choice>
  </mc:AlternateContent>
  <bookViews>
    <workbookView xWindow="0" yWindow="0" windowWidth="12930" windowHeight="5715" tabRatio="701"/>
  </bookViews>
  <sheets>
    <sheet name="COMPOSIÇÃO DOS CUSTOS" sheetId="1" r:id="rId1"/>
    <sheet name="CUSTO COM PESSOAL" sheetId="3" r:id="rId2"/>
    <sheet name="PERCENTUAL FOLHA DE PESSOAL" sheetId="4" r:id="rId3"/>
    <sheet name="DEPRECIAÇÃO LINEAR" sheetId="5" r:id="rId4"/>
  </sheets>
  <externalReferences>
    <externalReference r:id="rId5"/>
  </externalReferences>
  <definedNames>
    <definedName name="_xlnm.Print_Area" localSheetId="0">'COMPOSIÇÃO DOS CUSTOS'!$A$4:$P$90</definedName>
    <definedName name="_xlnm.Print_Area" localSheetId="1">'CUSTO COM PESSOAL'!$A$1:$H$114</definedName>
    <definedName name="_xlnm.Print_Area" localSheetId="3">'DEPRECIAÇÃO LINEAR'!$A$1:$P$23</definedName>
  </definedNames>
  <calcPr calcId="152511"/>
</workbook>
</file>

<file path=xl/calcChain.xml><?xml version="1.0" encoding="utf-8"?>
<calcChain xmlns="http://schemas.openxmlformats.org/spreadsheetml/2006/main">
  <c r="E43" i="1" l="1"/>
  <c r="C53" i="3" l="1"/>
  <c r="C55" i="3" l="1"/>
  <c r="C108" i="3"/>
  <c r="O19" i="1" l="1"/>
  <c r="D88" i="3" l="1"/>
  <c r="D89" i="3"/>
  <c r="D91" i="3"/>
  <c r="D95" i="3"/>
  <c r="C111" i="3"/>
  <c r="D27" i="3"/>
  <c r="D82" i="3" s="1"/>
  <c r="E40" i="1"/>
  <c r="C72" i="3"/>
  <c r="D111" i="3" l="1"/>
  <c r="C82" i="3"/>
  <c r="C88" i="3"/>
  <c r="C95" i="3"/>
  <c r="C91" i="3"/>
  <c r="C86" i="3"/>
  <c r="C89" i="3"/>
  <c r="C56" i="3"/>
  <c r="O21" i="1" l="1"/>
  <c r="O23" i="1" l="1"/>
  <c r="K43" i="1" l="1"/>
  <c r="K41" i="1"/>
  <c r="K40" i="1"/>
  <c r="C57" i="3" l="1"/>
  <c r="K63" i="1" l="1"/>
  <c r="K65" i="1"/>
  <c r="C17" i="3" l="1"/>
  <c r="C31" i="3" l="1"/>
  <c r="K42" i="1"/>
  <c r="K44" i="1" s="1"/>
  <c r="K45" i="1" s="1"/>
  <c r="K47" i="1" l="1"/>
  <c r="H19" i="5"/>
  <c r="H20" i="5" s="1"/>
  <c r="H21" i="5" s="1"/>
  <c r="K53" i="1" s="1"/>
  <c r="K62" i="1"/>
  <c r="K59" i="1" l="1"/>
  <c r="K60" i="1"/>
  <c r="K61" i="1"/>
  <c r="J58" i="1"/>
  <c r="K58" i="1" s="1"/>
  <c r="D43" i="3"/>
  <c r="D98" i="3" s="1"/>
  <c r="C98" i="3" s="1"/>
  <c r="D41" i="3"/>
  <c r="D96" i="3" s="1"/>
  <c r="C96" i="3" s="1"/>
  <c r="D35" i="3"/>
  <c r="D90" i="3" s="1"/>
  <c r="C90" i="3" s="1"/>
  <c r="D32" i="3"/>
  <c r="D28" i="3"/>
  <c r="D83" i="3" s="1"/>
  <c r="C83" i="3" s="1"/>
  <c r="D26" i="3"/>
  <c r="D81" i="3" s="1"/>
  <c r="C81" i="3" s="1"/>
  <c r="D25" i="3"/>
  <c r="D80" i="3" s="1"/>
  <c r="C80" i="3" s="1"/>
  <c r="D24" i="3"/>
  <c r="D79" i="3" s="1"/>
  <c r="C79" i="3" s="1"/>
  <c r="D23" i="3"/>
  <c r="D78" i="3" s="1"/>
  <c r="C78" i="3" s="1"/>
  <c r="D22" i="3"/>
  <c r="D77" i="3" s="1"/>
  <c r="C77" i="3" s="1"/>
  <c r="D21" i="3"/>
  <c r="D76" i="3" s="1"/>
  <c r="C76" i="3" s="1"/>
  <c r="C84" i="3" l="1"/>
  <c r="D84" i="3" s="1"/>
  <c r="C97" i="3" s="1"/>
  <c r="D97" i="3" s="1"/>
  <c r="D87" i="3"/>
  <c r="C87" i="3" s="1"/>
  <c r="C92" i="3" s="1"/>
  <c r="D92" i="3" s="1"/>
  <c r="D37" i="3"/>
  <c r="D45" i="3"/>
  <c r="C21" i="3"/>
  <c r="C40" i="3"/>
  <c r="D57" i="3"/>
  <c r="C66" i="3"/>
  <c r="C12" i="3"/>
  <c r="C23" i="3"/>
  <c r="C27" i="3"/>
  <c r="C32" i="3"/>
  <c r="C36" i="3"/>
  <c r="C41" i="3"/>
  <c r="C25" i="3"/>
  <c r="C34" i="3"/>
  <c r="C43" i="3"/>
  <c r="C22" i="3"/>
  <c r="C24" i="3"/>
  <c r="C26" i="3"/>
  <c r="C28" i="3"/>
  <c r="C33" i="3"/>
  <c r="C35" i="3"/>
  <c r="C99" i="3" l="1"/>
  <c r="D99" i="3" s="1"/>
  <c r="C37" i="3"/>
  <c r="C93" i="3"/>
  <c r="D93" i="3" s="1"/>
  <c r="C29" i="3"/>
  <c r="C101" i="3" l="1"/>
  <c r="D101" i="3" s="1"/>
  <c r="K49" i="1"/>
  <c r="D29" i="3"/>
  <c r="C42" i="3" s="1"/>
  <c r="C113" i="3" l="1"/>
  <c r="C114" i="3" s="1"/>
  <c r="D114" i="3" s="1"/>
  <c r="D42" i="3"/>
  <c r="C44" i="3"/>
  <c r="D44" i="3" s="1"/>
  <c r="C38" i="3"/>
  <c r="D38" i="3" l="1"/>
  <c r="C46" i="3"/>
  <c r="C59" i="3" l="1"/>
  <c r="C60" i="3" s="1"/>
  <c r="D46" i="3"/>
  <c r="D60" i="3" l="1"/>
  <c r="K55" i="1"/>
  <c r="K56" i="1"/>
  <c r="K66" i="1" l="1"/>
  <c r="K68" i="1" s="1"/>
  <c r="K71" i="1" l="1"/>
  <c r="K72" i="1" s="1"/>
  <c r="K73" i="1" l="1"/>
  <c r="K76" i="1" l="1"/>
  <c r="K77" i="1" s="1"/>
  <c r="K79" i="1" l="1"/>
  <c r="K78" i="1"/>
  <c r="K80" i="1" l="1"/>
  <c r="K86" i="1" s="1"/>
  <c r="K89" i="1" l="1"/>
</calcChain>
</file>

<file path=xl/comments1.xml><?xml version="1.0" encoding="utf-8"?>
<comments xmlns="http://schemas.openxmlformats.org/spreadsheetml/2006/main">
  <authors>
    <author>61697605249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61697605249: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<sst xmlns="http://schemas.openxmlformats.org/spreadsheetml/2006/main" count="325" uniqueCount="231">
  <si>
    <t>valor FIPE</t>
  </si>
  <si>
    <t>PERCENTUAL DE DEPRECIAÇÃO</t>
  </si>
  <si>
    <t>DADOS DE RODAGEM</t>
  </si>
  <si>
    <t>DADOS DO COMBUSTÍVEL</t>
  </si>
  <si>
    <t xml:space="preserve">Iten 1.1 </t>
  </si>
  <si>
    <t xml:space="preserve">COEFICIENTE </t>
  </si>
  <si>
    <t>l/km</t>
  </si>
  <si>
    <t>Item 1.2</t>
  </si>
  <si>
    <t>Item 1.3</t>
  </si>
  <si>
    <t>RODAGEM                 CONSUMO:</t>
  </si>
  <si>
    <t xml:space="preserve">PREÇO DO PNEU:                                        </t>
  </si>
  <si>
    <t>por veículo, sem rodagem</t>
  </si>
  <si>
    <t xml:space="preserve">Nº DE PNEUS:                                                           </t>
  </si>
  <si>
    <t>Item 1.4</t>
  </si>
  <si>
    <t>por km</t>
  </si>
  <si>
    <t>KM</t>
  </si>
  <si>
    <t>DISTÂNCIA DA ROTA POR DIA:</t>
  </si>
  <si>
    <t>por mês</t>
  </si>
  <si>
    <t xml:space="preserve">CONSUMO:                                                             </t>
  </si>
  <si>
    <t>km/l</t>
  </si>
  <si>
    <t xml:space="preserve">PREÇO DO LITRO DO DIESEL:                       </t>
  </si>
  <si>
    <t xml:space="preserve">Item 1:            CUSTOS VARIÁVEIS </t>
  </si>
  <si>
    <t>ITEM 02:       CUSTOS FIXOS</t>
  </si>
  <si>
    <t>Item 2.1</t>
  </si>
  <si>
    <t>ANO DE FABRICAÇÃO:</t>
  </si>
  <si>
    <t>Despesa de Depreciação do veículo:</t>
  </si>
  <si>
    <t>Faixa de Idade</t>
  </si>
  <si>
    <t>Item 2.3</t>
  </si>
  <si>
    <t>Custo com Pessoal:</t>
  </si>
  <si>
    <t>Motorista:</t>
  </si>
  <si>
    <t>MOTORISTA</t>
  </si>
  <si>
    <t>Motoristas Demandados (unidade)</t>
  </si>
  <si>
    <t>Motorista Reserva</t>
  </si>
  <si>
    <t>Total Motoristas</t>
  </si>
  <si>
    <t>Sindicato Responsável</t>
  </si>
  <si>
    <t>Sindicato dos Trabalhadores em Transporte Rodoviário no Estado de Rondônia</t>
  </si>
  <si>
    <t>Categoria Profissional</t>
  </si>
  <si>
    <t>Motorista Municipal - Condutor de Passageiros</t>
  </si>
  <si>
    <t>Data Base da Categoria (período vigente)</t>
  </si>
  <si>
    <t>Piso Salarial (R$)</t>
  </si>
  <si>
    <t>Bonus Assiduidade (R$)</t>
  </si>
  <si>
    <t>Total (R$)</t>
  </si>
  <si>
    <t>MOTORISTA - ENCARGOS SOCIAIS E TRABALHISTAS</t>
  </si>
  <si>
    <t>A</t>
  </si>
  <si>
    <t>ENCARGOS DIRETOS - Grupo A</t>
  </si>
  <si>
    <t>Valores Mensais</t>
  </si>
  <si>
    <t>Percentual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</si>
  <si>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</si>
  <si>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</si>
  <si>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</si>
  <si>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</si>
  <si>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</si>
  <si>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</si>
  <si>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</si>
  <si>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</si>
  <si>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Subtotal - Encargos Diretos</t>
  </si>
  <si>
    <t>B</t>
  </si>
  <si>
    <t>PROVISÕES - Grupo B</t>
  </si>
  <si>
    <t>Férias + 1/3</t>
  </si>
  <si>
    <t>13˚ Salário</t>
  </si>
  <si>
    <t>Auxílio Doença</t>
  </si>
  <si>
    <t>Licença Paternidade</t>
  </si>
  <si>
    <t>Acidente de Trabalho</t>
  </si>
  <si>
    <t>Ausências Legais</t>
  </si>
  <si>
    <t>Subtotal - Provisões</t>
  </si>
  <si>
    <t>A x B</t>
  </si>
  <si>
    <t>Encargos sobre Provisões (A% x B)</t>
  </si>
  <si>
    <t>C</t>
  </si>
  <si>
    <t>RESCISÕES - Grupo C</t>
  </si>
  <si>
    <t>Aviso Prévio Indenizado</t>
  </si>
  <si>
    <t>Indenização Adicional</t>
  </si>
  <si>
    <t>A x C</t>
  </si>
  <si>
    <t>Encargos sobre Rescisões (A% x C)</t>
  </si>
  <si>
    <t xml:space="preserve">Multa de FGTS sobre Rescisões sem Justa Causa </t>
  </si>
  <si>
    <t>Subtotal - Rescisões</t>
  </si>
  <si>
    <t>Total - Encargos Sociais e Trabalhistas</t>
  </si>
  <si>
    <t>MOTORISTA - BENEFÍCIOS E OUTROS</t>
  </si>
  <si>
    <t>D</t>
  </si>
  <si>
    <t>BENEFÍCIOS E OUTROS - Grupo D</t>
  </si>
  <si>
    <t>Quant.</t>
  </si>
  <si>
    <t>Preço Unit.</t>
  </si>
  <si>
    <t>Auxilio Alimentação (cesta básica)</t>
  </si>
  <si>
    <t>Exame médico admissional/demissional</t>
  </si>
  <si>
    <t>Seguro de vida</t>
  </si>
  <si>
    <t>Uniforme completo (calça/camisa/bota/crachá)</t>
  </si>
  <si>
    <t>Total - Benefícios e Outros</t>
  </si>
  <si>
    <t>Remuneração Individual + Encargos e Benefícios</t>
  </si>
  <si>
    <t>R$ / Km</t>
  </si>
  <si>
    <t>Remuneração Mensal - Motoristas</t>
  </si>
  <si>
    <t>MONITOR</t>
  </si>
  <si>
    <t>Monitores Demandados (unidade)</t>
  </si>
  <si>
    <t>Monitor Reserva</t>
  </si>
  <si>
    <t>MN</t>
  </si>
  <si>
    <t>Total Monitores</t>
  </si>
  <si>
    <t>Monitor</t>
  </si>
  <si>
    <t>MONITOR - ENCARGOS SOCIAIS E TRABALHISTAS</t>
  </si>
  <si>
    <t>MONITOR - BENEFÍCIOS E OUTROS</t>
  </si>
  <si>
    <t>Remuneração Mensal - Monitores</t>
  </si>
  <si>
    <t>ANEXO I</t>
  </si>
  <si>
    <t>FUNDAMENTAÇÃO DOS PERCENTUAIS APLICADOS À FOLHA DE PESSOAL</t>
  </si>
  <si>
    <t>ENCARGOS SOCIAIS E TRABALHISTAS</t>
  </si>
  <si>
    <t>ENCARGOS DIRETOS</t>
  </si>
  <si>
    <t>Legislação Aplicada</t>
  </si>
  <si>
    <t>Percentuais</t>
  </si>
  <si>
    <t>Lei Federal 8.212/1991, Art. 22, inciso I.</t>
  </si>
  <si>
    <t>Lei 8.036/1990, art. 30 e Lei 8.154/1990, art. 1º.</t>
  </si>
  <si>
    <t>Decreto-Lei 2.318/1986</t>
  </si>
  <si>
    <t>Decreto-Lei 1.146/1970, art. 1º, inciso I.</t>
  </si>
  <si>
    <t>Decreto-Lei 87.043/1982, art. 3º, inciso I.</t>
  </si>
  <si>
    <t>Lei 8.036/1990, art. 15 e CR, art. 7º, inciso III.</t>
  </si>
  <si>
    <t>Lei Federal 8.212/1991, Art. 22, inciso II, alínea b.</t>
  </si>
  <si>
    <t>Lei 8.029/1990, alterada pela Lei 8.154/1990</t>
  </si>
  <si>
    <t>PROVISÕES</t>
  </si>
  <si>
    <t>CR/1988, art. 7º, XVII. % = 1 Salário / 12 Meses x 4/3 = 0,1111</t>
  </si>
  <si>
    <t>CR/1988, art. 7º, VIII. % = 1 Salário / 12 Meses = 0,0833</t>
  </si>
  <si>
    <t>Lei 8.213/1991, art. 59 a 64. Conforme o MPOG, temos a previsão de 5,96 dias por ano, portanto % = (5,96 / 30) / (1 / 12) = 0,0166</t>
  </si>
  <si>
    <t>Lei 8.213/1991, art. 19 a 23. Correlato aos 15 primeiros dias de afastamento de um empregado que tenha se acidentado. A partir do 16º dia, o ônus será assumido pelo INSS. Conforme o MPOG, temos a previsão de 0,91 dias por ano, portanto % = (0,91 / 30) / (1 / 12) = 0,002528</t>
  </si>
  <si>
    <t>CR/1988, art. 7º, XIX e CLT, art. 10, § 1º. Trata-se da licença de 5 dias corridos, iniciados após o nascimento do filho, para os homens. Estimativa de fecundidade de 1,5% (um inteiro e cinco décimos por cento) dos funcionários usufruindo 5 (cinco) dias da licença por ano. Portanto, teremos % = ( 5 / 30) / 12 x 0,015 = 0,000208</t>
  </si>
  <si>
    <t>CLT, art. 473. Estimativa de 1 (uma) ausência por ano, portanto % = (1 / 30) / 12</t>
  </si>
  <si>
    <t>RESCISÕES</t>
  </si>
  <si>
    <t>CR/1988, art. 7º, XXI e, CLT, art. 477, 487 e 491. Não há consenso sobre o percentual padrão a ser aplicado, pois deve ter por base um índice de rotatividade dos trabalhadores que operam na empresa. Supondo que a rotatividade média dos funcionários seja de três anos (36 meses), podemos projetar como % = (12 / 36) / 12 = 0,0277</t>
  </si>
  <si>
    <t>Lei 6.708/1979 e Lei 7.238/1984, ambas no artigo 9º, determinam uma indenização adicional, equivalente a um salário mensal, no caso de dispensa sem justa causa. Considerando que 10% dos funcionários pedem demissão, esta indenização será aplicada aos 90% restantes. Supondo que a rotatividade média dos funcionários seja de três anos (36 meses), podemos projetar como % = 0,90 x (12 / 36) / 12 = 0,0250</t>
  </si>
  <si>
    <t>Multa do FGTS sobre Rescisões sem Justa Causa</t>
  </si>
  <si>
    <t>CR/1988, art. 7º, inciso I e  Decreto 99.684/1990, art. 9º, parágrafo 1º. Conforme descrito no item "Indenização Adicional", como 10% dos funcionários pedem demissão, teremos a obrigação de pagar multa de 40% sobre os depósitos acumulados ao FGTS, nos casos de demissão sem justa causa, sobre 90% dos funcionários, logo % = 0,08 x 0,40 x 0,90 = 0,0288</t>
  </si>
  <si>
    <t>Fonte:</t>
  </si>
  <si>
    <t>MPOG - Manual de orientação para preenchimento da planilha de custo e formação de preços, versão 1.0 - maio de 2011.</t>
  </si>
  <si>
    <t>http://www.comprasnet.gov.br/publicacoes/manuais/Manual_preenchimento_planilha_de_custo_-_27-05-2011.pdf</t>
  </si>
  <si>
    <t>STF - Secretaria de Controle Interno - Atualização dos percentuais máximos para encargos sociais.</t>
  </si>
  <si>
    <t>http://www.stf.jus.br/arquivo/cms/sobrestfestudosci/anexo/encargos_sociais_03102007.pdf</t>
  </si>
  <si>
    <t>Item 2.4</t>
  </si>
  <si>
    <t>Subitem 2.3.1</t>
  </si>
  <si>
    <t>Subitem 2.3.2</t>
  </si>
  <si>
    <t>Subitem 2.4.1</t>
  </si>
  <si>
    <t>Tributos relativos ao veículo:</t>
  </si>
  <si>
    <t>IPVA: (1% sobre o valor do veículo):</t>
  </si>
  <si>
    <t>Subitem 2.4.2</t>
  </si>
  <si>
    <t xml:space="preserve">Licenciamento anual: </t>
  </si>
  <si>
    <t>Subitem 2.4.3</t>
  </si>
  <si>
    <t>Vistoria:</t>
  </si>
  <si>
    <t>Seguro DPVAT:</t>
  </si>
  <si>
    <t>Item 2.5</t>
  </si>
  <si>
    <t>Base de cálculo (Custos Váriaveis + Custo Fixo)</t>
  </si>
  <si>
    <t>TOTAL DOS CUSTOS FIXOS</t>
  </si>
  <si>
    <t>ISS</t>
  </si>
  <si>
    <t xml:space="preserve">PIS </t>
  </si>
  <si>
    <t>COFINS</t>
  </si>
  <si>
    <t>ALÍQUOTA</t>
  </si>
  <si>
    <t>TOTAL DE TRIBUTOS:</t>
  </si>
  <si>
    <t>CUSTO POR KM</t>
  </si>
  <si>
    <t>por Km</t>
  </si>
  <si>
    <t>VALOR DO INTINERÁRIO AO MÊS</t>
  </si>
  <si>
    <t xml:space="preserve">COMBUSTÍVEL          CONSUMO: </t>
  </si>
  <si>
    <t>Item 4.1</t>
  </si>
  <si>
    <t>Custo Indireto:</t>
  </si>
  <si>
    <t>PERCENTUAL</t>
  </si>
  <si>
    <t xml:space="preserve">TOTAL DO SERVIÇO PRESTADO: </t>
  </si>
  <si>
    <t>Item 2.6</t>
  </si>
  <si>
    <t>Custo de Lavagem do veículo</t>
  </si>
  <si>
    <t>Lucro Bruto:</t>
  </si>
  <si>
    <t>Item 2.7</t>
  </si>
  <si>
    <t>Item 2.8</t>
  </si>
  <si>
    <t xml:space="preserve">Monitoramento Veicular: </t>
  </si>
  <si>
    <t>Seguro de Terceiros:</t>
  </si>
  <si>
    <t>Nº DE LUGARES:                                           ATÉ           36 ALUNOS</t>
  </si>
  <si>
    <t xml:space="preserve">IDADE DO VEÍCULO:                                                    60 MESES </t>
  </si>
  <si>
    <t>ÔNIBUS:</t>
  </si>
  <si>
    <t xml:space="preserve">VALOR: </t>
  </si>
  <si>
    <t xml:space="preserve">IDADE DO VEÍCULO:                                                    </t>
  </si>
  <si>
    <t>Veículo:</t>
  </si>
  <si>
    <t xml:space="preserve">VIDA ÚTIL DO VEÍCULO:                                              </t>
  </si>
  <si>
    <t xml:space="preserve">Nº DE LUGARES:                                          </t>
  </si>
  <si>
    <t>TIPO DE VEÍCULO</t>
  </si>
  <si>
    <t>VIDA ÚTIL</t>
  </si>
  <si>
    <t>VEÍCULO NOVO</t>
  </si>
  <si>
    <t>(EM ANOS)</t>
  </si>
  <si>
    <t>VEÍCULO USADO</t>
  </si>
  <si>
    <t>VALOR RESIDUAL VEÍCULO NOVO</t>
  </si>
  <si>
    <t>(%)</t>
  </si>
  <si>
    <t>MICRO-ÔNIBUS E ÔNIBUS</t>
  </si>
  <si>
    <t>ONIBUS:</t>
  </si>
  <si>
    <t>Depreciação anual:</t>
  </si>
  <si>
    <t>Depreciação mensal:</t>
  </si>
  <si>
    <t>Valor Residual:</t>
  </si>
  <si>
    <t>VEíCULO NOVO:</t>
  </si>
  <si>
    <t>MÉTODO LINEAR:</t>
  </si>
  <si>
    <t>ÍNDICE RESIDUAL DO VEÍCULO:                               90%</t>
  </si>
  <si>
    <t>DEPRECIAÇÃO VEICULAR</t>
  </si>
  <si>
    <t xml:space="preserve">Auxílio Transporte </t>
  </si>
  <si>
    <t>Bonus por Assiduidade</t>
  </si>
  <si>
    <t>anos</t>
  </si>
  <si>
    <t>LINEAR</t>
  </si>
  <si>
    <t>TOTAL:</t>
  </si>
  <si>
    <t>CUSTO VARIÁVEL + CUSTO FIXO</t>
  </si>
  <si>
    <t>ITEM 03: CUSTO INDIRETO E LUCRO</t>
  </si>
  <si>
    <t>ITEM 04: TRIBUTOS RELATIVOS AO FATUTRAMENTO</t>
  </si>
  <si>
    <t>Custos Váriaveis + Custos Fixos Custos Indiretos e Lucro + Tributos</t>
  </si>
  <si>
    <t>TRECHO PAVIMENTADO:</t>
  </si>
  <si>
    <t>TRECHO NÃO PAVIMENTADO:</t>
  </si>
  <si>
    <t>QUANTIDADE PERCORRIDA TRECHO PAVIMENTADO/MÊS:</t>
  </si>
  <si>
    <t>QUANTIDADE PERCORRIDA TRECHO NÃO PAVIMENTADO/MÊS:</t>
  </si>
  <si>
    <t>QUANTIDADE TOTAL DA ROTA MÊS:</t>
  </si>
  <si>
    <t>Item 2.9</t>
  </si>
  <si>
    <t>Cronotacógrafo:</t>
  </si>
  <si>
    <t>Exame toxicológico</t>
  </si>
  <si>
    <t>TOTAL CUSTOS VARIÁVEIS - TRECHO PAVIMENTADO:</t>
  </si>
  <si>
    <t>TOTAL CUSTOS VARIÁVEIS - TRECHO NÃO PAVIMENTADO:</t>
  </si>
  <si>
    <t>TOTAL DO TRECHO (PAVIMENTADO + NÃO PAVIMENTADO):</t>
  </si>
  <si>
    <t>Nº DE RECAPAGENS:</t>
  </si>
  <si>
    <t>VALOR DA RECAPAGEM:</t>
  </si>
  <si>
    <t>VIDA ÚTIL DO PNEU COM AS RECAPAGENS:</t>
  </si>
  <si>
    <t xml:space="preserve">DADOS DO VEÍCULO:                                      </t>
  </si>
  <si>
    <t>LUBRIFICANTES        CONSUMO:</t>
  </si>
  <si>
    <t>18 ANOS</t>
  </si>
  <si>
    <t>Auxilio Alimentação</t>
  </si>
  <si>
    <t>TOTAL DOS CUSTOS VARIÁVEIS</t>
  </si>
  <si>
    <t>MANUTENÇÃ       CONSUMO:</t>
  </si>
  <si>
    <t>MUNICÍPIO: THEOBROMA</t>
  </si>
  <si>
    <t xml:space="preserve">Valor do Intinerário / Quantidade de Km percorrida no mês (trecho NÃO pavimentado). </t>
  </si>
  <si>
    <t>PLANILHA DECOMPOSIÇÃO DE  CUSTO - TRANSPORTE ESCOLAR RURAL</t>
  </si>
  <si>
    <t>CUSTO DE PROJEÇÃO DE DESPESAS COM PESSOAL</t>
  </si>
  <si>
    <t xml:space="preserve">IDADE DO VEÍCULO:                                                    120 MESES </t>
  </si>
  <si>
    <t>Nº DE LUGARES:                                           ATÉ           42 ALUNOS</t>
  </si>
  <si>
    <t>Férias + 1/3 de férias</t>
  </si>
  <si>
    <t xml:space="preserve"> Férias + 1/3 de férias</t>
  </si>
  <si>
    <t>LOTE:</t>
  </si>
  <si>
    <t>VEÍCULO USADO:</t>
  </si>
  <si>
    <t>ATÉ 44 LUGARES</t>
  </si>
  <si>
    <t xml:space="preserve">ÔNIBUS ESCOLAR </t>
  </si>
  <si>
    <t>Nº de Veículo</t>
  </si>
  <si>
    <r>
      <rPr>
        <b/>
        <i/>
        <sz val="11"/>
        <color theme="1"/>
        <rFont val="Calibri"/>
        <family val="2"/>
        <scheme val="minor"/>
      </rPr>
      <t>OBSERVAÇÃO 1:</t>
    </r>
    <r>
      <rPr>
        <i/>
        <sz val="11"/>
        <color theme="1"/>
        <rFont val="Calibri"/>
        <family val="2"/>
        <scheme val="minor"/>
      </rPr>
      <t xml:space="preserve"> A distância da rota por dia é referente a média do lote.</t>
    </r>
  </si>
  <si>
    <r>
      <rPr>
        <b/>
        <i/>
        <sz val="11"/>
        <color theme="1"/>
        <rFont val="Calibri"/>
        <family val="2"/>
        <scheme val="minor"/>
      </rPr>
      <t>OBSERVAÇÃO 2</t>
    </r>
    <r>
      <rPr>
        <i/>
        <sz val="11"/>
        <color theme="1"/>
        <rFont val="Calibri"/>
        <family val="2"/>
        <scheme val="minor"/>
      </rPr>
      <t>: O Lote 02 corresponde uma quilometragem de 840 km dia com uma média  de 140 km 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</si>
</sst>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\-&quot;R$&quot;#,##0.00"/>
    <numFmt numFmtId="165" formatCode="&quot;R$&quot;\ #,##0.00"/>
    <numFmt numFmtId="166" formatCode="0.0000"/>
    <numFmt numFmtId="167" formatCode="_-* #,##0_-;\-* #,##0_-;_-* &quot;-&quot;??_-;_-@_-"/>
    <numFmt numFmtId="168" formatCode="0.000%"/>
    <numFmt numFmtId="169" formatCode="_-* #,##0.000000_-;\-* #,##0.000000_-;_-* &quot;-&quot;??_-;_-@_-"/>
    <numFmt numFmtId="170" formatCode="0.0000%"/>
    <numFmt numFmtId="171" formatCode="&quot;R$&quot;#,##0.00"/>
    <numFmt numFmtId="172" formatCode="#,##0.00000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theme="6" tint="-0.499984740745262"/>
      <name val="Calibri"/>
      <family val="2"/>
      <scheme val="minor"/>
    </font>
    <font>
      <sz val="12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222222"/>
      <name val="Arial"/>
      <family val="2"/>
    </font>
    <font>
      <sz val="12"/>
      <color rgb="FF22222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/>
    <xf numFmtId="165" fontId="0" fillId="0" borderId="0" xfId="0" applyNumberFormat="1" applyBorder="1" applyAlignment="1"/>
    <xf numFmtId="0" fontId="0" fillId="0" borderId="0" xfId="0" applyBorder="1"/>
    <xf numFmtId="0" fontId="11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justify"/>
    </xf>
    <xf numFmtId="0" fontId="13" fillId="0" borderId="0" xfId="0" applyFont="1" applyBorder="1" applyAlignment="1">
      <alignment horizontal="justify" vertical="justify"/>
    </xf>
    <xf numFmtId="0" fontId="12" fillId="0" borderId="8" xfId="0" applyFont="1" applyBorder="1" applyAlignment="1">
      <alignment horizontal="justify" vertical="justify"/>
    </xf>
    <xf numFmtId="0" fontId="13" fillId="0" borderId="9" xfId="0" applyFont="1" applyBorder="1" applyAlignment="1">
      <alignment horizontal="right" vertical="justify"/>
    </xf>
    <xf numFmtId="0" fontId="13" fillId="0" borderId="10" xfId="0" applyFont="1" applyBorder="1" applyAlignment="1">
      <alignment horizontal="justify" vertical="justify"/>
    </xf>
    <xf numFmtId="0" fontId="12" fillId="2" borderId="11" xfId="0" applyFont="1" applyFill="1" applyBorder="1" applyAlignment="1">
      <alignment horizontal="right" vertical="justify"/>
    </xf>
    <xf numFmtId="0" fontId="14" fillId="0" borderId="0" xfId="0" applyFont="1" applyAlignment="1">
      <alignment horizontal="justify" vertical="justify"/>
    </xf>
    <xf numFmtId="0" fontId="12" fillId="0" borderId="10" xfId="0" applyFont="1" applyBorder="1" applyAlignment="1">
      <alignment horizontal="justify" vertical="justify"/>
    </xf>
    <xf numFmtId="0" fontId="12" fillId="0" borderId="11" xfId="0" applyFont="1" applyBorder="1" applyAlignment="1">
      <alignment horizontal="right" vertical="justify"/>
    </xf>
    <xf numFmtId="0" fontId="13" fillId="0" borderId="10" xfId="0" applyFont="1" applyBorder="1" applyAlignment="1">
      <alignment horizontal="justify" vertical="justify" wrapText="1"/>
    </xf>
    <xf numFmtId="0" fontId="15" fillId="0" borderId="11" xfId="0" applyFont="1" applyBorder="1" applyAlignment="1">
      <alignment horizontal="center" vertical="justify" wrapText="1"/>
    </xf>
    <xf numFmtId="44" fontId="15" fillId="0" borderId="11" xfId="2" applyFont="1" applyBorder="1" applyAlignment="1">
      <alignment horizontal="right" vertical="justify"/>
    </xf>
    <xf numFmtId="44" fontId="15" fillId="0" borderId="0" xfId="2" applyFont="1" applyBorder="1" applyAlignment="1">
      <alignment horizontal="justify" vertical="justify"/>
    </xf>
    <xf numFmtId="0" fontId="12" fillId="0" borderId="12" xfId="0" applyFont="1" applyFill="1" applyBorder="1" applyAlignment="1">
      <alignment horizontal="justify" vertical="justify" wrapText="1"/>
    </xf>
    <xf numFmtId="44" fontId="12" fillId="2" borderId="13" xfId="2" applyFont="1" applyFill="1" applyBorder="1" applyAlignment="1">
      <alignment horizontal="right" vertical="justify"/>
    </xf>
    <xf numFmtId="0" fontId="12" fillId="0" borderId="14" xfId="0" applyFont="1" applyBorder="1" applyAlignment="1">
      <alignment horizontal="justify" vertical="justify"/>
    </xf>
    <xf numFmtId="0" fontId="13" fillId="0" borderId="15" xfId="0" applyFont="1" applyBorder="1" applyAlignment="1">
      <alignment horizontal="justify" vertical="justify"/>
    </xf>
    <xf numFmtId="0" fontId="13" fillId="0" borderId="16" xfId="0" applyFont="1" applyBorder="1" applyAlignment="1">
      <alignment horizontal="justify" vertical="justify"/>
    </xf>
    <xf numFmtId="0" fontId="12" fillId="0" borderId="17" xfId="0" applyFont="1" applyBorder="1" applyAlignment="1">
      <alignment horizontal="justify" vertical="justify"/>
    </xf>
    <xf numFmtId="0" fontId="12" fillId="0" borderId="18" xfId="0" applyFont="1" applyBorder="1" applyAlignment="1">
      <alignment horizontal="justify" vertical="justify"/>
    </xf>
    <xf numFmtId="0" fontId="12" fillId="0" borderId="19" xfId="0" applyFont="1" applyBorder="1" applyAlignment="1">
      <alignment horizontal="justify" vertical="justify" wrapText="1"/>
    </xf>
    <xf numFmtId="0" fontId="13" fillId="0" borderId="20" xfId="0" applyFont="1" applyBorder="1" applyAlignment="1">
      <alignment horizontal="justify" vertical="justify"/>
    </xf>
    <xf numFmtId="44" fontId="13" fillId="2" borderId="21" xfId="0" applyNumberFormat="1" applyFont="1" applyFill="1" applyBorder="1" applyAlignment="1">
      <alignment horizontal="justify" vertical="justify"/>
    </xf>
    <xf numFmtId="10" fontId="16" fillId="0" borderId="22" xfId="4" applyNumberFormat="1" applyFont="1" applyBorder="1" applyAlignment="1">
      <alignment horizontal="justify" vertical="justify"/>
    </xf>
    <xf numFmtId="0" fontId="12" fillId="0" borderId="23" xfId="0" applyFont="1" applyBorder="1" applyAlignment="1">
      <alignment horizontal="justify" vertical="justify"/>
    </xf>
    <xf numFmtId="44" fontId="12" fillId="2" borderId="24" xfId="0" applyNumberFormat="1" applyFont="1" applyFill="1" applyBorder="1" applyAlignment="1">
      <alignment horizontal="justify" vertical="justify"/>
    </xf>
    <xf numFmtId="10" fontId="12" fillId="2" borderId="25" xfId="3" applyNumberFormat="1" applyFont="1" applyFill="1" applyBorder="1" applyAlignment="1">
      <alignment horizontal="justify" vertical="justify"/>
    </xf>
    <xf numFmtId="0" fontId="13" fillId="0" borderId="26" xfId="0" applyFont="1" applyBorder="1" applyAlignment="1">
      <alignment horizontal="justify" vertical="justify"/>
    </xf>
    <xf numFmtId="44" fontId="13" fillId="2" borderId="27" xfId="0" applyNumberFormat="1" applyFont="1" applyFill="1" applyBorder="1" applyAlignment="1">
      <alignment horizontal="justify" vertical="justify"/>
    </xf>
    <xf numFmtId="10" fontId="16" fillId="0" borderId="28" xfId="4" applyNumberFormat="1" applyFont="1" applyBorder="1" applyAlignment="1">
      <alignment horizontal="justify" vertical="justify"/>
    </xf>
    <xf numFmtId="0" fontId="12" fillId="0" borderId="29" xfId="0" applyFont="1" applyBorder="1" applyAlignment="1">
      <alignment horizontal="justify" vertical="justify"/>
    </xf>
    <xf numFmtId="44" fontId="12" fillId="2" borderId="30" xfId="0" applyNumberFormat="1" applyFont="1" applyFill="1" applyBorder="1" applyAlignment="1">
      <alignment horizontal="justify" vertical="justify"/>
    </xf>
    <xf numFmtId="10" fontId="12" fillId="2" borderId="31" xfId="3" applyNumberFormat="1" applyFont="1" applyFill="1" applyBorder="1" applyAlignment="1">
      <alignment horizontal="justify" vertical="justify"/>
    </xf>
    <xf numFmtId="0" fontId="13" fillId="0" borderId="32" xfId="0" applyFont="1" applyBorder="1" applyAlignment="1">
      <alignment horizontal="justify" vertical="justify"/>
    </xf>
    <xf numFmtId="44" fontId="13" fillId="2" borderId="33" xfId="0" applyNumberFormat="1" applyFont="1" applyFill="1" applyBorder="1" applyAlignment="1">
      <alignment horizontal="justify" vertical="justify"/>
    </xf>
    <xf numFmtId="10" fontId="16" fillId="0" borderId="34" xfId="4" applyNumberFormat="1" applyFont="1" applyBorder="1" applyAlignment="1">
      <alignment horizontal="justify" vertical="justify"/>
    </xf>
    <xf numFmtId="0" fontId="12" fillId="0" borderId="35" xfId="0" applyFont="1" applyBorder="1" applyAlignment="1">
      <alignment horizontal="justify" vertical="justify"/>
    </xf>
    <xf numFmtId="44" fontId="12" fillId="2" borderId="7" xfId="0" applyNumberFormat="1" applyFont="1" applyFill="1" applyBorder="1" applyAlignment="1">
      <alignment horizontal="justify" vertical="justify"/>
    </xf>
    <xf numFmtId="10" fontId="12" fillId="2" borderId="36" xfId="3" applyNumberFormat="1" applyFont="1" applyFill="1" applyBorder="1" applyAlignment="1">
      <alignment horizontal="justify" vertical="justify"/>
    </xf>
    <xf numFmtId="0" fontId="13" fillId="0" borderId="37" xfId="0" applyFont="1" applyBorder="1" applyAlignment="1">
      <alignment horizontal="justify" vertical="justify"/>
    </xf>
    <xf numFmtId="44" fontId="13" fillId="2" borderId="1" xfId="0" applyNumberFormat="1" applyFont="1" applyFill="1" applyBorder="1" applyAlignment="1">
      <alignment horizontal="justify" vertical="justify"/>
    </xf>
    <xf numFmtId="10" fontId="16" fillId="0" borderId="38" xfId="4" applyNumberFormat="1" applyFont="1" applyBorder="1" applyAlignment="1">
      <alignment horizontal="justify" vertical="justify"/>
    </xf>
    <xf numFmtId="0" fontId="12" fillId="0" borderId="39" xfId="0" applyFont="1" applyBorder="1" applyAlignment="1">
      <alignment horizontal="justify" vertical="justify"/>
    </xf>
    <xf numFmtId="44" fontId="12" fillId="2" borderId="40" xfId="0" applyNumberFormat="1" applyFont="1" applyFill="1" applyBorder="1" applyAlignment="1">
      <alignment horizontal="justify" vertical="justify"/>
    </xf>
    <xf numFmtId="10" fontId="12" fillId="2" borderId="41" xfId="3" applyNumberFormat="1" applyFont="1" applyFill="1" applyBorder="1" applyAlignment="1">
      <alignment horizontal="justify" vertical="justify"/>
    </xf>
    <xf numFmtId="0" fontId="12" fillId="0" borderId="29" xfId="0" applyFont="1" applyFill="1" applyBorder="1" applyAlignment="1">
      <alignment horizontal="justify" vertical="justify"/>
    </xf>
    <xf numFmtId="0" fontId="12" fillId="0" borderId="18" xfId="0" applyFont="1" applyBorder="1" applyAlignment="1">
      <alignment horizontal="justify" vertical="justify" wrapText="1"/>
    </xf>
    <xf numFmtId="0" fontId="12" fillId="0" borderId="19" xfId="0" applyFont="1" applyBorder="1" applyAlignment="1">
      <alignment horizontal="justify" vertical="justify"/>
    </xf>
    <xf numFmtId="0" fontId="16" fillId="0" borderId="20" xfId="4" applyFont="1" applyBorder="1" applyAlignment="1">
      <alignment horizontal="justify" vertical="justify"/>
    </xf>
    <xf numFmtId="167" fontId="17" fillId="3" borderId="21" xfId="1" applyNumberFormat="1" applyFont="1" applyFill="1" applyBorder="1" applyAlignment="1">
      <alignment horizontal="justify" vertical="justify"/>
    </xf>
    <xf numFmtId="44" fontId="17" fillId="3" borderId="22" xfId="2" applyFont="1" applyFill="1" applyBorder="1" applyAlignment="1">
      <alignment horizontal="justify" vertical="justify"/>
    </xf>
    <xf numFmtId="10" fontId="12" fillId="2" borderId="24" xfId="3" applyNumberFormat="1" applyFont="1" applyFill="1" applyBorder="1" applyAlignment="1">
      <alignment horizontal="justify" vertical="justify"/>
    </xf>
    <xf numFmtId="0" fontId="13" fillId="0" borderId="25" xfId="0" applyFont="1" applyBorder="1" applyAlignment="1">
      <alignment horizontal="justify" vertical="justify"/>
    </xf>
    <xf numFmtId="44" fontId="12" fillId="2" borderId="31" xfId="0" applyNumberFormat="1" applyFont="1" applyFill="1" applyBorder="1" applyAlignment="1">
      <alignment horizontal="justify" vertical="justify"/>
    </xf>
    <xf numFmtId="0" fontId="12" fillId="0" borderId="42" xfId="0" applyFont="1" applyBorder="1" applyAlignment="1">
      <alignment horizontal="justify" vertical="justify" wrapText="1"/>
    </xf>
    <xf numFmtId="44" fontId="12" fillId="2" borderId="43" xfId="2" applyFont="1" applyFill="1" applyBorder="1" applyAlignment="1">
      <alignment horizontal="justify" vertical="justify"/>
    </xf>
    <xf numFmtId="0" fontId="13" fillId="0" borderId="9" xfId="0" applyFont="1" applyBorder="1" applyAlignment="1">
      <alignment horizontal="justify" vertical="justify"/>
    </xf>
    <xf numFmtId="43" fontId="13" fillId="0" borderId="0" xfId="1" applyFont="1" applyAlignment="1">
      <alignment horizontal="justify" vertical="justify"/>
    </xf>
    <xf numFmtId="0" fontId="13" fillId="2" borderId="11" xfId="0" applyFont="1" applyFill="1" applyBorder="1" applyAlignment="1">
      <alignment horizontal="justify" vertical="justify"/>
    </xf>
    <xf numFmtId="0" fontId="12" fillId="0" borderId="11" xfId="0" applyFont="1" applyBorder="1" applyAlignment="1">
      <alignment horizontal="justify" vertical="justify"/>
    </xf>
    <xf numFmtId="44" fontId="15" fillId="3" borderId="11" xfId="2" applyFont="1" applyFill="1" applyBorder="1" applyAlignment="1">
      <alignment horizontal="justify" vertical="justify"/>
    </xf>
    <xf numFmtId="44" fontId="12" fillId="2" borderId="13" xfId="2" applyFont="1" applyFill="1" applyBorder="1" applyAlignment="1">
      <alignment horizontal="justify" vertical="justify"/>
    </xf>
    <xf numFmtId="167" fontId="17" fillId="0" borderId="21" xfId="1" applyNumberFormat="1" applyFont="1" applyBorder="1" applyAlignment="1">
      <alignment horizontal="justify" vertical="justify"/>
    </xf>
    <xf numFmtId="44" fontId="17" fillId="0" borderId="22" xfId="2" applyFont="1" applyBorder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  <xf numFmtId="0" fontId="19" fillId="0" borderId="0" xfId="0" applyFont="1" applyAlignment="1">
      <alignment vertical="top"/>
    </xf>
    <xf numFmtId="0" fontId="18" fillId="0" borderId="14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8" fillId="0" borderId="44" xfId="0" applyFont="1" applyBorder="1" applyAlignment="1">
      <alignment vertical="top"/>
    </xf>
    <xf numFmtId="0" fontId="18" fillId="0" borderId="45" xfId="0" applyFont="1" applyBorder="1" applyAlignment="1">
      <alignment vertical="top"/>
    </xf>
    <xf numFmtId="0" fontId="18" fillId="0" borderId="46" xfId="0" applyFont="1" applyBorder="1" applyAlignment="1">
      <alignment vertical="top" wrapText="1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10" fontId="20" fillId="0" borderId="22" xfId="4" applyNumberFormat="1" applyFont="1" applyBorder="1" applyAlignment="1">
      <alignment vertical="top"/>
    </xf>
    <xf numFmtId="0" fontId="18" fillId="0" borderId="23" xfId="0" applyFont="1" applyBorder="1" applyAlignment="1">
      <alignment vertical="top"/>
    </xf>
    <xf numFmtId="44" fontId="18" fillId="0" borderId="24" xfId="0" applyNumberFormat="1" applyFont="1" applyBorder="1" applyAlignment="1">
      <alignment vertical="top"/>
    </xf>
    <xf numFmtId="10" fontId="18" fillId="0" borderId="25" xfId="3" applyNumberFormat="1" applyFont="1" applyBorder="1" applyAlignment="1">
      <alignment vertical="top"/>
    </xf>
    <xf numFmtId="44" fontId="19" fillId="0" borderId="21" xfId="0" applyNumberFormat="1" applyFont="1" applyBorder="1" applyAlignment="1">
      <alignment vertical="top" wrapText="1"/>
    </xf>
    <xf numFmtId="0" fontId="19" fillId="0" borderId="21" xfId="0" applyNumberFormat="1" applyFont="1" applyBorder="1" applyAlignment="1">
      <alignment vertical="top" wrapText="1"/>
    </xf>
    <xf numFmtId="168" fontId="19" fillId="0" borderId="0" xfId="3" applyNumberFormat="1" applyFont="1" applyAlignment="1">
      <alignment vertical="top"/>
    </xf>
    <xf numFmtId="169" fontId="19" fillId="0" borderId="0" xfId="1" applyNumberFormat="1" applyFont="1" applyAlignment="1">
      <alignment vertical="top"/>
    </xf>
    <xf numFmtId="0" fontId="19" fillId="0" borderId="20" xfId="0" applyFont="1" applyFill="1" applyBorder="1" applyAlignment="1">
      <alignment vertical="top"/>
    </xf>
    <xf numFmtId="10" fontId="20" fillId="0" borderId="22" xfId="4" applyNumberFormat="1" applyFont="1" applyFill="1" applyBorder="1" applyAlignment="1">
      <alignment vertical="top"/>
    </xf>
    <xf numFmtId="170" fontId="19" fillId="0" borderId="0" xfId="3" applyNumberFormat="1" applyFont="1" applyAlignment="1">
      <alignment vertical="top"/>
    </xf>
    <xf numFmtId="0" fontId="19" fillId="0" borderId="23" xfId="0" applyFont="1" applyBorder="1" applyAlignment="1">
      <alignment vertical="top" wrapText="1"/>
    </xf>
    <xf numFmtId="0" fontId="19" fillId="0" borderId="24" xfId="0" applyNumberFormat="1" applyFont="1" applyBorder="1" applyAlignment="1">
      <alignment vertical="top" wrapText="1"/>
    </xf>
    <xf numFmtId="10" fontId="20" fillId="0" borderId="25" xfId="4" applyNumberFormat="1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44" fontId="18" fillId="0" borderId="0" xfId="0" applyNumberFormat="1" applyFont="1" applyBorder="1" applyAlignment="1">
      <alignment vertical="top"/>
    </xf>
    <xf numFmtId="10" fontId="18" fillId="0" borderId="0" xfId="3" applyNumberFormat="1" applyFont="1" applyBorder="1" applyAlignment="1">
      <alignment vertical="top"/>
    </xf>
    <xf numFmtId="0" fontId="22" fillId="0" borderId="0" xfId="5" applyFont="1" applyAlignment="1" applyProtection="1">
      <alignment vertical="top"/>
    </xf>
    <xf numFmtId="14" fontId="15" fillId="0" borderId="11" xfId="0" applyNumberFormat="1" applyFont="1" applyBorder="1" applyAlignment="1">
      <alignment horizontal="center" vertical="justify" wrapText="1"/>
    </xf>
    <xf numFmtId="0" fontId="0" fillId="6" borderId="0" xfId="0" applyFill="1"/>
    <xf numFmtId="0" fontId="0" fillId="7" borderId="0" xfId="0" applyFill="1"/>
    <xf numFmtId="0" fontId="2" fillId="7" borderId="0" xfId="0" applyFont="1" applyFill="1"/>
    <xf numFmtId="0" fontId="1" fillId="7" borderId="0" xfId="0" applyFont="1" applyFill="1" applyAlignment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left"/>
    </xf>
    <xf numFmtId="0" fontId="24" fillId="7" borderId="0" xfId="0" applyFont="1" applyFill="1"/>
    <xf numFmtId="0" fontId="2" fillId="7" borderId="0" xfId="0" applyFont="1" applyFill="1" applyAlignment="1"/>
    <xf numFmtId="0" fontId="0" fillId="7" borderId="0" xfId="0" applyFill="1" applyAlignment="1"/>
    <xf numFmtId="3" fontId="1" fillId="7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right"/>
    </xf>
    <xf numFmtId="3" fontId="1" fillId="7" borderId="0" xfId="0" applyNumberFormat="1" applyFont="1" applyFill="1"/>
    <xf numFmtId="165" fontId="1" fillId="7" borderId="0" xfId="0" applyNumberFormat="1" applyFont="1" applyFill="1" applyAlignment="1">
      <alignment horizontal="right"/>
    </xf>
    <xf numFmtId="0" fontId="0" fillId="0" borderId="47" xfId="0" applyBorder="1" applyAlignment="1"/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0" fillId="0" borderId="0" xfId="0" applyBorder="1" applyAlignment="1"/>
    <xf numFmtId="165" fontId="1" fillId="7" borderId="0" xfId="0" applyNumberFormat="1" applyFont="1" applyFill="1"/>
    <xf numFmtId="0" fontId="0" fillId="0" borderId="0" xfId="0" applyFill="1" applyBorder="1"/>
    <xf numFmtId="0" fontId="1" fillId="0" borderId="0" xfId="0" applyFont="1" applyFill="1" applyBorder="1" applyAlignment="1"/>
    <xf numFmtId="165" fontId="1" fillId="0" borderId="0" xfId="0" applyNumberFormat="1" applyFont="1" applyFill="1" applyBorder="1" applyAlignment="1"/>
    <xf numFmtId="0" fontId="0" fillId="0" borderId="0" xfId="0" applyFill="1" applyBorder="1" applyAlignment="1"/>
    <xf numFmtId="0" fontId="4" fillId="9" borderId="1" xfId="0" applyFont="1" applyFill="1" applyBorder="1"/>
    <xf numFmtId="0" fontId="0" fillId="9" borderId="1" xfId="0" applyFill="1" applyBorder="1"/>
    <xf numFmtId="44" fontId="13" fillId="0" borderId="21" xfId="0" applyNumberFormat="1" applyFont="1" applyFill="1" applyBorder="1" applyAlignment="1">
      <alignment horizontal="justify" vertical="justify"/>
    </xf>
    <xf numFmtId="167" fontId="17" fillId="0" borderId="21" xfId="1" applyNumberFormat="1" applyFont="1" applyFill="1" applyBorder="1" applyAlignment="1">
      <alignment horizontal="justify" vertical="justify"/>
    </xf>
    <xf numFmtId="44" fontId="17" fillId="0" borderId="22" xfId="2" applyFont="1" applyFill="1" applyBorder="1" applyAlignment="1">
      <alignment horizontal="justify" vertical="justify"/>
    </xf>
    <xf numFmtId="171" fontId="0" fillId="0" borderId="0" xfId="0" applyNumberFormat="1"/>
    <xf numFmtId="0" fontId="3" fillId="0" borderId="0" xfId="0" applyFont="1" applyBorder="1" applyAlignment="1"/>
    <xf numFmtId="0" fontId="5" fillId="0" borderId="1" xfId="0" applyFont="1" applyBorder="1"/>
    <xf numFmtId="0" fontId="34" fillId="0" borderId="1" xfId="4" applyFont="1" applyBorder="1"/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165" fontId="5" fillId="0" borderId="1" xfId="0" applyNumberFormat="1" applyFont="1" applyBorder="1" applyAlignment="1"/>
    <xf numFmtId="165" fontId="3" fillId="4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/>
    <xf numFmtId="0" fontId="3" fillId="4" borderId="1" xfId="0" applyFont="1" applyFill="1" applyBorder="1"/>
    <xf numFmtId="0" fontId="3" fillId="4" borderId="1" xfId="0" applyFont="1" applyFill="1" applyBorder="1" applyAlignment="1">
      <alignment vertical="center"/>
    </xf>
    <xf numFmtId="171" fontId="5" fillId="0" borderId="1" xfId="0" applyNumberFormat="1" applyFont="1" applyBorder="1" applyAlignment="1"/>
    <xf numFmtId="171" fontId="5" fillId="0" borderId="1" xfId="0" applyNumberFormat="1" applyFont="1" applyBorder="1"/>
    <xf numFmtId="10" fontId="5" fillId="0" borderId="1" xfId="0" applyNumberFormat="1" applyFont="1" applyBorder="1"/>
    <xf numFmtId="0" fontId="5" fillId="4" borderId="1" xfId="0" applyFont="1" applyFill="1" applyBorder="1"/>
    <xf numFmtId="10" fontId="5" fillId="0" borderId="7" xfId="0" applyNumberFormat="1" applyFont="1" applyBorder="1" applyAlignment="1"/>
    <xf numFmtId="165" fontId="5" fillId="0" borderId="1" xfId="0" applyNumberFormat="1" applyFont="1" applyBorder="1"/>
    <xf numFmtId="165" fontId="2" fillId="4" borderId="1" xfId="0" applyNumberFormat="1" applyFont="1" applyFill="1" applyBorder="1"/>
    <xf numFmtId="171" fontId="2" fillId="4" borderId="1" xfId="0" applyNumberFormat="1" applyFont="1" applyFill="1" applyBorder="1"/>
    <xf numFmtId="171" fontId="2" fillId="11" borderId="1" xfId="0" applyNumberFormat="1" applyFont="1" applyFill="1" applyBorder="1"/>
    <xf numFmtId="164" fontId="2" fillId="4" borderId="4" xfId="0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171" fontId="1" fillId="7" borderId="0" xfId="0" applyNumberFormat="1" applyFont="1" applyFill="1"/>
    <xf numFmtId="172" fontId="5" fillId="0" borderId="1" xfId="0" applyNumberFormat="1" applyFont="1" applyBorder="1"/>
    <xf numFmtId="171" fontId="5" fillId="0" borderId="1" xfId="0" applyNumberFormat="1" applyFont="1" applyFill="1" applyBorder="1"/>
    <xf numFmtId="171" fontId="5" fillId="0" borderId="4" xfId="0" applyNumberFormat="1" applyFont="1" applyFill="1" applyBorder="1"/>
    <xf numFmtId="0" fontId="3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Fill="1" applyBorder="1" applyAlignment="1" applyProtection="1">
      <protection hidden="1"/>
    </xf>
    <xf numFmtId="4" fontId="33" fillId="0" borderId="0" xfId="0" applyNumberFormat="1" applyFont="1" applyFill="1" applyBorder="1"/>
    <xf numFmtId="0" fontId="32" fillId="0" borderId="0" xfId="0" applyFont="1" applyFill="1" applyBorder="1" applyAlignment="1" applyProtection="1">
      <alignment horizontal="center"/>
      <protection hidden="1"/>
    </xf>
    <xf numFmtId="0" fontId="32" fillId="0" borderId="0" xfId="0" quotePrefix="1" applyFont="1" applyFill="1" applyBorder="1" applyProtection="1">
      <protection hidden="1"/>
    </xf>
    <xf numFmtId="43" fontId="32" fillId="0" borderId="0" xfId="1" applyFont="1" applyFill="1" applyBorder="1" applyProtection="1">
      <protection hidden="1"/>
    </xf>
    <xf numFmtId="44" fontId="13" fillId="0" borderId="27" xfId="0" applyNumberFormat="1" applyFont="1" applyFill="1" applyBorder="1" applyAlignment="1">
      <alignment horizontal="justify" vertical="justify"/>
    </xf>
    <xf numFmtId="167" fontId="17" fillId="0" borderId="27" xfId="1" applyNumberFormat="1" applyFont="1" applyFill="1" applyBorder="1" applyAlignment="1">
      <alignment horizontal="justify" vertical="justify"/>
    </xf>
    <xf numFmtId="44" fontId="17" fillId="0" borderId="28" xfId="2" applyFont="1" applyFill="1" applyBorder="1" applyAlignment="1">
      <alignment horizontal="justify" vertical="justify"/>
    </xf>
    <xf numFmtId="0" fontId="5" fillId="0" borderId="4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6" xfId="0" applyFont="1" applyBorder="1"/>
    <xf numFmtId="0" fontId="0" fillId="0" borderId="51" xfId="0" applyBorder="1"/>
    <xf numFmtId="0" fontId="5" fillId="0" borderId="57" xfId="0" applyFont="1" applyBorder="1"/>
    <xf numFmtId="0" fontId="5" fillId="0" borderId="47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59" xfId="0" applyFont="1" applyBorder="1"/>
    <xf numFmtId="0" fontId="5" fillId="0" borderId="49" xfId="0" applyFont="1" applyBorder="1"/>
    <xf numFmtId="0" fontId="5" fillId="0" borderId="60" xfId="0" applyFont="1" applyBorder="1"/>
    <xf numFmtId="171" fontId="5" fillId="0" borderId="4" xfId="0" applyNumberFormat="1" applyFont="1" applyBorder="1"/>
    <xf numFmtId="171" fontId="5" fillId="0" borderId="58" xfId="0" applyNumberFormat="1" applyFont="1" applyFill="1" applyBorder="1"/>
    <xf numFmtId="0" fontId="5" fillId="0" borderId="58" xfId="0" applyFont="1" applyBorder="1"/>
    <xf numFmtId="0" fontId="5" fillId="0" borderId="47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0" xfId="0" applyFont="1" applyBorder="1" applyAlignment="1">
      <alignment horizontal="left"/>
    </xf>
    <xf numFmtId="0" fontId="5" fillId="0" borderId="59" xfId="0" applyFont="1" applyFill="1" applyBorder="1"/>
    <xf numFmtId="0" fontId="5" fillId="0" borderId="49" xfId="0" applyFont="1" applyFill="1" applyBorder="1"/>
    <xf numFmtId="0" fontId="5" fillId="0" borderId="60" xfId="0" applyFont="1" applyFill="1" applyBorder="1"/>
    <xf numFmtId="0" fontId="5" fillId="0" borderId="57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0" fillId="0" borderId="6" xfId="0" applyBorder="1"/>
    <xf numFmtId="0" fontId="0" fillId="0" borderId="58" xfId="0" applyBorder="1"/>
    <xf numFmtId="0" fontId="0" fillId="0" borderId="5" xfId="0" applyBorder="1"/>
    <xf numFmtId="44" fontId="41" fillId="0" borderId="0" xfId="2" applyFont="1" applyBorder="1"/>
    <xf numFmtId="0" fontId="40" fillId="0" borderId="0" xfId="0" applyFont="1" applyBorder="1"/>
    <xf numFmtId="0" fontId="0" fillId="0" borderId="0" xfId="0" applyBorder="1" applyAlignment="1">
      <alignment vertical="top"/>
    </xf>
    <xf numFmtId="0" fontId="0" fillId="0" borderId="47" xfId="0" applyBorder="1"/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165" fontId="0" fillId="0" borderId="0" xfId="0" applyNumberFormat="1" applyBorder="1"/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5" borderId="0" xfId="0" applyNumberFormat="1" applyFont="1" applyFill="1" applyBorder="1"/>
    <xf numFmtId="0" fontId="0" fillId="0" borderId="47" xfId="0" applyBorder="1" applyAlignment="1">
      <alignment horizontal="left"/>
    </xf>
    <xf numFmtId="4" fontId="2" fillId="5" borderId="0" xfId="0" applyNumberFormat="1" applyFont="1" applyFill="1" applyBorder="1"/>
    <xf numFmtId="0" fontId="2" fillId="5" borderId="0" xfId="0" applyFont="1" applyFill="1" applyBorder="1"/>
    <xf numFmtId="0" fontId="0" fillId="0" borderId="59" xfId="0" applyBorder="1"/>
    <xf numFmtId="0" fontId="0" fillId="0" borderId="49" xfId="0" applyBorder="1"/>
    <xf numFmtId="0" fontId="0" fillId="0" borderId="60" xfId="0" applyBorder="1"/>
    <xf numFmtId="0" fontId="0" fillId="0" borderId="57" xfId="0" applyBorder="1"/>
    <xf numFmtId="0" fontId="0" fillId="0" borderId="61" xfId="0" applyBorder="1"/>
    <xf numFmtId="0" fontId="0" fillId="0" borderId="62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171" fontId="0" fillId="0" borderId="0" xfId="0" applyNumberFormat="1" applyBorder="1"/>
    <xf numFmtId="0" fontId="3" fillId="0" borderId="47" xfId="0" applyFont="1" applyBorder="1" applyAlignment="1">
      <alignment horizontal="left"/>
    </xf>
    <xf numFmtId="0" fontId="37" fillId="9" borderId="0" xfId="0" applyFont="1" applyFill="1" applyBorder="1"/>
    <xf numFmtId="0" fontId="5" fillId="0" borderId="0" xfId="0" applyFont="1" applyBorder="1" applyAlignment="1">
      <alignment horizontal="center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/>
    <xf numFmtId="0" fontId="13" fillId="0" borderId="10" xfId="0" applyFont="1" applyFill="1" applyBorder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50" xfId="0" applyFont="1" applyBorder="1" applyAlignment="1">
      <alignment horizontal="justify" vertical="justify"/>
    </xf>
    <xf numFmtId="0" fontId="13" fillId="0" borderId="51" xfId="0" applyFont="1" applyBorder="1" applyAlignment="1">
      <alignment horizontal="justify" vertical="justify"/>
    </xf>
    <xf numFmtId="0" fontId="11" fillId="0" borderId="51" xfId="0" applyFont="1" applyBorder="1" applyAlignment="1">
      <alignment horizontal="justify" vertical="justify"/>
    </xf>
    <xf numFmtId="0" fontId="11" fillId="0" borderId="52" xfId="0" applyFont="1" applyBorder="1" applyAlignment="1">
      <alignment horizontal="justify" vertical="justify"/>
    </xf>
    <xf numFmtId="0" fontId="12" fillId="0" borderId="65" xfId="0" applyFont="1" applyBorder="1" applyAlignment="1">
      <alignment horizontal="justify" vertical="justify"/>
    </xf>
    <xf numFmtId="0" fontId="11" fillId="0" borderId="54" xfId="0" applyFont="1" applyBorder="1" applyAlignment="1">
      <alignment horizontal="justify" vertical="justify"/>
    </xf>
    <xf numFmtId="0" fontId="13" fillId="0" borderId="53" xfId="0" applyFont="1" applyBorder="1" applyAlignment="1">
      <alignment horizontal="justify" vertical="justify"/>
    </xf>
    <xf numFmtId="0" fontId="12" fillId="0" borderId="53" xfId="0" applyFont="1" applyBorder="1" applyAlignment="1">
      <alignment horizontal="justify" vertical="justify"/>
    </xf>
    <xf numFmtId="0" fontId="13" fillId="0" borderId="53" xfId="0" applyFont="1" applyBorder="1" applyAlignment="1">
      <alignment horizontal="justify" vertical="justify" wrapText="1"/>
    </xf>
    <xf numFmtId="0" fontId="12" fillId="0" borderId="66" xfId="0" applyFont="1" applyFill="1" applyBorder="1" applyAlignment="1">
      <alignment horizontal="justify" vertical="justify" wrapText="1"/>
    </xf>
    <xf numFmtId="0" fontId="12" fillId="0" borderId="67" xfId="0" applyFont="1" applyBorder="1" applyAlignment="1">
      <alignment horizontal="justify" vertical="justify"/>
    </xf>
    <xf numFmtId="0" fontId="12" fillId="0" borderId="68" xfId="0" applyFont="1" applyBorder="1" applyAlignment="1">
      <alignment horizontal="justify" vertical="justify"/>
    </xf>
    <xf numFmtId="0" fontId="13" fillId="0" borderId="69" xfId="0" applyFont="1" applyBorder="1" applyAlignment="1">
      <alignment horizontal="justify" vertical="justify"/>
    </xf>
    <xf numFmtId="0" fontId="12" fillId="0" borderId="70" xfId="0" applyFont="1" applyBorder="1" applyAlignment="1">
      <alignment horizontal="justify" vertical="justify"/>
    </xf>
    <xf numFmtId="166" fontId="13" fillId="0" borderId="0" xfId="0" applyNumberFormat="1" applyFont="1" applyBorder="1" applyAlignment="1">
      <alignment horizontal="justify" vertical="justify"/>
    </xf>
    <xf numFmtId="10" fontId="11" fillId="0" borderId="0" xfId="3" applyNumberFormat="1" applyFont="1" applyBorder="1" applyAlignment="1">
      <alignment horizontal="justify" vertical="justify"/>
    </xf>
    <xf numFmtId="0" fontId="13" fillId="0" borderId="71" xfId="0" applyFont="1" applyBorder="1" applyAlignment="1">
      <alignment horizontal="justify" vertical="justify"/>
    </xf>
    <xf numFmtId="0" fontId="12" fillId="0" borderId="72" xfId="0" applyFont="1" applyBorder="1" applyAlignment="1">
      <alignment horizontal="justify" vertical="justify"/>
    </xf>
    <xf numFmtId="0" fontId="13" fillId="0" borderId="73" xfId="0" applyFont="1" applyBorder="1" applyAlignment="1">
      <alignment horizontal="justify" vertical="justify"/>
    </xf>
    <xf numFmtId="0" fontId="12" fillId="0" borderId="74" xfId="0" applyFont="1" applyBorder="1" applyAlignment="1">
      <alignment horizontal="justify" vertical="justify"/>
    </xf>
    <xf numFmtId="0" fontId="13" fillId="0" borderId="75" xfId="0" applyFont="1" applyBorder="1" applyAlignment="1">
      <alignment horizontal="justify" vertical="justify"/>
    </xf>
    <xf numFmtId="0" fontId="12" fillId="0" borderId="76" xfId="0" applyFont="1" applyBorder="1" applyAlignment="1">
      <alignment horizontal="justify" vertical="justify"/>
    </xf>
    <xf numFmtId="0" fontId="12" fillId="0" borderId="72" xfId="0" applyFont="1" applyFill="1" applyBorder="1" applyAlignment="1">
      <alignment horizontal="justify" vertical="justify"/>
    </xf>
    <xf numFmtId="44" fontId="13" fillId="0" borderId="0" xfId="0" applyNumberFormat="1" applyFont="1" applyBorder="1" applyAlignment="1">
      <alignment horizontal="justify" vertical="justify"/>
    </xf>
    <xf numFmtId="0" fontId="16" fillId="0" borderId="69" xfId="4" applyFont="1" applyBorder="1" applyAlignment="1">
      <alignment horizontal="justify" vertical="justify"/>
    </xf>
    <xf numFmtId="0" fontId="13" fillId="0" borderId="54" xfId="0" applyFont="1" applyFill="1" applyBorder="1" applyAlignment="1">
      <alignment vertical="justify"/>
    </xf>
    <xf numFmtId="0" fontId="12" fillId="0" borderId="77" xfId="0" applyFont="1" applyFill="1" applyBorder="1" applyAlignment="1">
      <alignment horizontal="justify" vertical="justify"/>
    </xf>
    <xf numFmtId="44" fontId="12" fillId="2" borderId="78" xfId="0" applyNumberFormat="1" applyFont="1" applyFill="1" applyBorder="1" applyAlignment="1">
      <alignment horizontal="justify" vertical="justify"/>
    </xf>
    <xf numFmtId="44" fontId="12" fillId="2" borderId="79" xfId="2" applyFont="1" applyFill="1" applyBorder="1" applyAlignment="1">
      <alignment horizontal="justify" vertical="justify"/>
    </xf>
    <xf numFmtId="0" fontId="13" fillId="0" borderId="55" xfId="0" applyFont="1" applyBorder="1" applyAlignment="1">
      <alignment horizontal="justify" vertical="justify"/>
    </xf>
    <xf numFmtId="0" fontId="11" fillId="0" borderId="55" xfId="0" applyFont="1" applyBorder="1" applyAlignment="1">
      <alignment horizontal="justify" vertical="justify"/>
    </xf>
    <xf numFmtId="0" fontId="11" fillId="0" borderId="56" xfId="0" applyFont="1" applyBorder="1" applyAlignment="1">
      <alignment horizontal="justify" vertical="justify"/>
    </xf>
    <xf numFmtId="171" fontId="5" fillId="0" borderId="1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justify" vertical="justify"/>
    </xf>
    <xf numFmtId="0" fontId="28" fillId="0" borderId="1" xfId="0" applyFont="1" applyBorder="1"/>
    <xf numFmtId="0" fontId="13" fillId="0" borderId="69" xfId="4" applyFont="1" applyBorder="1" applyAlignment="1">
      <alignment horizontal="justify" vertical="justify"/>
    </xf>
    <xf numFmtId="0" fontId="13" fillId="0" borderId="71" xfId="4" applyFont="1" applyFill="1" applyBorder="1" applyAlignment="1">
      <alignment horizontal="justify" vertical="justify"/>
    </xf>
    <xf numFmtId="0" fontId="13" fillId="0" borderId="20" xfId="4" applyFont="1" applyBorder="1" applyAlignment="1">
      <alignment horizontal="justify" vertical="justify"/>
    </xf>
    <xf numFmtId="0" fontId="29" fillId="0" borderId="1" xfId="0" applyFont="1" applyBorder="1"/>
    <xf numFmtId="0" fontId="5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23" fillId="5" borderId="0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5" fillId="2" borderId="1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4" fillId="0" borderId="1" xfId="4" applyFont="1" applyBorder="1" applyAlignment="1">
      <alignment vertical="center"/>
    </xf>
    <xf numFmtId="9" fontId="5" fillId="0" borderId="1" xfId="0" applyNumberFormat="1" applyFont="1" applyBorder="1" applyAlignment="1">
      <alignment horizontal="left"/>
    </xf>
    <xf numFmtId="10" fontId="5" fillId="0" borderId="1" xfId="0" applyNumberFormat="1" applyFont="1" applyBorder="1" applyAlignment="1">
      <alignment horizontal="left"/>
    </xf>
    <xf numFmtId="10" fontId="5" fillId="0" borderId="48" xfId="0" applyNumberFormat="1" applyFont="1" applyBorder="1" applyAlignment="1">
      <alignment horizontal="left"/>
    </xf>
    <xf numFmtId="0" fontId="3" fillId="2" borderId="48" xfId="0" applyFont="1" applyFill="1" applyBorder="1" applyAlignment="1">
      <alignment horizontal="center"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left"/>
    </xf>
    <xf numFmtId="0" fontId="5" fillId="0" borderId="47" xfId="0" applyFont="1" applyBorder="1" applyAlignment="1">
      <alignment horizontal="left"/>
    </xf>
    <xf numFmtId="0" fontId="5" fillId="5" borderId="4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165" fontId="1" fillId="7" borderId="0" xfId="0" applyNumberFormat="1" applyFont="1" applyFill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left"/>
    </xf>
    <xf numFmtId="0" fontId="0" fillId="9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49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8" borderId="63" xfId="0" applyFont="1" applyFill="1" applyBorder="1" applyAlignment="1">
      <alignment horizontal="center"/>
    </xf>
    <xf numFmtId="0" fontId="29" fillId="8" borderId="55" xfId="0" applyFont="1" applyFill="1" applyBorder="1" applyAlignment="1">
      <alignment horizontal="center"/>
    </xf>
    <xf numFmtId="0" fontId="29" fillId="8" borderId="64" xfId="0" applyFont="1" applyFill="1" applyBorder="1" applyAlignment="1">
      <alignment horizontal="center"/>
    </xf>
    <xf numFmtId="0" fontId="5" fillId="9" borderId="59" xfId="0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167" fontId="29" fillId="0" borderId="1" xfId="1" applyNumberFormat="1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23" fillId="10" borderId="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center" vertical="justify"/>
    </xf>
    <xf numFmtId="0" fontId="13" fillId="0" borderId="54" xfId="0" applyFont="1" applyFill="1" applyBorder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1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9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23" fillId="4" borderId="1" xfId="0" applyFont="1" applyFill="1" applyBorder="1" applyAlignment="1">
      <alignment horizontal="center"/>
    </xf>
    <xf numFmtId="0" fontId="8" fillId="8" borderId="1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166" fontId="3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</cellXfs>
  <cellStyles count="6">
    <cellStyle name="Hiperlink" xfId="5" builtinId="8"/>
    <cellStyle name="Moeda" xfId="2" builtinId="4"/>
    <cellStyle name="Normal" xfId="0" builtinId="0"/>
    <cellStyle name="Normal_PLANILHA%20DE%20COMPOSIÇÃO%20DE%20CUSTO%20UNITARIO%20semed%202013%20helber(1)" xfId="4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16</xdr:col>
      <xdr:colOff>9524</xdr:colOff>
      <xdr:row>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600075"/>
          <a:ext cx="12182474" cy="1114425"/>
        </a:xfrm>
        <a:prstGeom prst="rect">
          <a:avLst/>
        </a:prstGeom>
        <a:solidFill>
          <a:schemeClr val="bg2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endParaRPr lang="pt-BR" sz="1200">
            <a:effectLst/>
            <a:latin typeface="Bookman Old Style" panose="0205060405050502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ESTADO DE RONDÔNIA</a:t>
          </a: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PREFEITURA MUNICIPAL DE THEOBROMA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SECRETARIA MUNICIPAL DE EDUCAÇÃO,CULTURA E ESPORTE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400" b="1" u="none" strike="noStrike">
              <a:solidFill>
                <a:srgbClr val="008000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381000</xdr:colOff>
          <xdr:row>3</xdr:row>
          <xdr:rowOff>142875</xdr:rowOff>
        </xdr:from>
        <xdr:to>
          <xdr:col>8</xdr:col>
          <xdr:colOff>438150</xdr:colOff>
          <xdr:row>5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7408</xdr:rowOff>
    </xdr:from>
    <xdr:to>
      <xdr:col>7</xdr:col>
      <xdr:colOff>804333</xdr:colOff>
      <xdr:row>5</xdr:row>
      <xdr:rowOff>169333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7408"/>
          <a:ext cx="8128000" cy="1114425"/>
        </a:xfrm>
        <a:prstGeom prst="rect">
          <a:avLst/>
        </a:prstGeom>
        <a:solidFill>
          <a:schemeClr val="bg2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endParaRPr lang="pt-BR" sz="1200">
            <a:effectLst/>
            <a:latin typeface="Bookman Old Style" panose="0205060405050502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ESTADO DE RONDÔNIA</a:t>
          </a: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PREFEITURA MUNICIPAL DE THEOBROMA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SECRETARIA MUNICIPAL DE EDUCAÇÃO, CULTURA E ESPORTE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400" b="1" u="none" strike="noStrike">
              <a:solidFill>
                <a:srgbClr val="008000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447675</xdr:colOff>
          <xdr:row>0</xdr:row>
          <xdr:rowOff>104775</xdr:rowOff>
        </xdr:from>
        <xdr:to>
          <xdr:col>2</xdr:col>
          <xdr:colOff>1314450</xdr:colOff>
          <xdr:row>2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61</xdr:row>
      <xdr:rowOff>0</xdr:rowOff>
    </xdr:from>
    <xdr:to>
      <xdr:col>7</xdr:col>
      <xdr:colOff>804333</xdr:colOff>
      <xdr:row>61</xdr:row>
      <xdr:rowOff>1114425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12192000"/>
          <a:ext cx="8128000" cy="1114425"/>
        </a:xfrm>
        <a:prstGeom prst="rect">
          <a:avLst/>
        </a:prstGeom>
        <a:solidFill>
          <a:schemeClr val="bg2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endParaRPr lang="pt-BR" sz="1200">
            <a:effectLst/>
            <a:latin typeface="Bookman Old Style" panose="0205060405050502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ESTADO DE RONDÔNIA</a:t>
          </a: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PREFEITURA MUNICIPAL DE THEOBROMA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SECRETARIA MUNICIPAL DE EDUCAÇÃO, CULTURA E ESPORTE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400" b="1" u="none" strike="noStrike">
              <a:solidFill>
                <a:srgbClr val="008000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523875</xdr:colOff>
          <xdr:row>61</xdr:row>
          <xdr:rowOff>104775</xdr:rowOff>
        </xdr:from>
        <xdr:to>
          <xdr:col>2</xdr:col>
          <xdr:colOff>1390650</xdr:colOff>
          <xdr:row>61</xdr:row>
          <xdr:rowOff>485775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19050</xdr:colOff>
      <xdr:row>0</xdr:row>
      <xdr:rowOff>1066801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"/>
          <a:ext cx="6591300" cy="1066800"/>
        </a:xfrm>
        <a:prstGeom prst="rect">
          <a:avLst/>
        </a:prstGeom>
        <a:solidFill>
          <a:schemeClr val="bg2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endParaRPr lang="pt-BR" sz="1200">
            <a:effectLst/>
            <a:latin typeface="Bookman Old Style" panose="0205060405050502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ESTADO DE RONDÔNIA</a:t>
          </a: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PREFEITURA MUNICIPAL DE THEOBROMA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SECRETARIA MUNICIPAL DE EDUCAÇÃO, CULTURA E ESPORTE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400" b="1" u="none" strike="noStrike">
              <a:solidFill>
                <a:srgbClr val="008000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76200</xdr:rowOff>
        </xdr:from>
        <xdr:to>
          <xdr:col>1</xdr:col>
          <xdr:colOff>866775</xdr:colOff>
          <xdr:row>0</xdr:row>
          <xdr:rowOff>457200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76200</xdr:rowOff>
    </xdr:from>
    <xdr:to>
      <xdr:col>15</xdr:col>
      <xdr:colOff>38100</xdr:colOff>
      <xdr:row>5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00075" y="76200"/>
          <a:ext cx="7067550" cy="1066800"/>
        </a:xfrm>
        <a:prstGeom prst="rect">
          <a:avLst/>
        </a:prstGeom>
        <a:solidFill>
          <a:schemeClr val="bg2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endParaRPr lang="pt-BR" sz="1200">
            <a:effectLst/>
            <a:latin typeface="Bookman Old Style" panose="0205060405050502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ESTADO DE RONDÔNIA</a:t>
          </a: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PREFEITURA MUNICIPAL DE THEOBROMA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SECRETARIA MUNICIPAL DE EDUCAÇÃO, CULTURA E ESPORTE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1400" b="1" u="none" strike="noStrike">
              <a:solidFill>
                <a:srgbClr val="008000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0</xdr:row>
          <xdr:rowOff>161925</xdr:rowOff>
        </xdr:from>
        <xdr:to>
          <xdr:col>7</xdr:col>
          <xdr:colOff>57150</xdr:colOff>
          <xdr:row>2</xdr:row>
          <xdr:rowOff>114300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TA&#199;&#195;O\LUCIANO\PLANILHA%20TRANSPORTE%20ESCOLAR%20ROND&#212;NIA\POLO%20-%20VILHENA\PLATAFORMA%20ORE%203%20-%20SEM%20PLATAFORMA%20-%20ok\TRANSPORTE%20COLETIVO\02%20-%20Planilha%20de%20Custo%20-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"/>
      <sheetName val="DESPESAS - PESSOAL"/>
      <sheetName val="DESPESAS - VEÍCULOS"/>
      <sheetName val="Alíquotas MPOG"/>
      <sheetName val="COMPARAÇÃO"/>
    </sheetNames>
    <sheetDataSet>
      <sheetData sheetId="0">
        <row r="33">
          <cell r="B33">
            <v>35668</v>
          </cell>
        </row>
      </sheetData>
      <sheetData sheetId="1" refreshError="1"/>
      <sheetData sheetId="2" refreshError="1"/>
      <sheetData sheetId="3">
        <row r="6">
          <cell r="C6">
            <v>0.2</v>
          </cell>
        </row>
        <row r="7">
          <cell r="C7">
            <v>1.4999999999999999E-2</v>
          </cell>
        </row>
        <row r="8">
          <cell r="C8">
            <v>0.01</v>
          </cell>
        </row>
        <row r="9">
          <cell r="C9">
            <v>2E-3</v>
          </cell>
        </row>
        <row r="10">
          <cell r="C10">
            <v>2.5000000000000001E-2</v>
          </cell>
        </row>
        <row r="11">
          <cell r="C11">
            <v>0.08</v>
          </cell>
        </row>
        <row r="12">
          <cell r="C12">
            <v>0.02</v>
          </cell>
        </row>
        <row r="13">
          <cell r="C13">
            <v>6.0000000000000001E-3</v>
          </cell>
        </row>
        <row r="17">
          <cell r="C17">
            <v>8.3299999999999999E-2</v>
          </cell>
        </row>
        <row r="19">
          <cell r="C19">
            <v>2.7000000000000001E-3</v>
          </cell>
        </row>
        <row r="24">
          <cell r="C24">
            <v>2.5000000000000001E-2</v>
          </cell>
        </row>
        <row r="25">
          <cell r="C25">
            <v>2.8799999999999999E-2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wmf"/><Relationship Id="rId2" Type="http://schemas.openxmlformats.org/officeDocument/2006/relationships/hyperlink" Target="http://www.stf.jus.br/arquivo/cms/sobrestfestudosci/anexo/encargos_sociais_03102007.pdf" TargetMode="External"/><Relationship Id="rId1" Type="http://schemas.openxmlformats.org/officeDocument/2006/relationships/hyperlink" Target="http://www.comprasnet.gov.br/publicacoes/manuais/Manual_preenchimento_planilha_de_custo_-_27-05-2011.pdf" TargetMode="External"/><Relationship Id="rId6" Type="http://schemas.openxmlformats.org/officeDocument/2006/relationships/oleObject" Target="../embeddings/oleObject4.bin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tabSelected="1" view="pageBreakPreview" topLeftCell="A76" zoomScaleNormal="100" zoomScaleSheetLayoutView="100" workbookViewId="0">
      <selection activeCell="K56" sqref="K56"/>
    </sheetView>
  </sheetViews>
  <sheetFormatPr defaultRowHeight="15" x14ac:dyDescent="0.25"/>
  <cols>
    <col min="2" max="2" width="14.140625" customWidth="1"/>
    <col min="5" max="5" width="10.7109375" bestFit="1" customWidth="1"/>
    <col min="7" max="7" width="15.42578125" bestFit="1" customWidth="1"/>
    <col min="8" max="8" width="3.5703125" customWidth="1"/>
    <col min="9" max="9" width="7.7109375" customWidth="1"/>
    <col min="10" max="10" width="12" customWidth="1"/>
    <col min="11" max="11" width="25.28515625" customWidth="1"/>
    <col min="12" max="12" width="14.5703125" customWidth="1"/>
    <col min="13" max="13" width="16.85546875" customWidth="1"/>
    <col min="14" max="14" width="6.42578125" customWidth="1"/>
    <col min="15" max="15" width="9" customWidth="1"/>
    <col min="16" max="16" width="10.5703125" customWidth="1"/>
    <col min="17" max="17" width="15.140625" customWidth="1"/>
  </cols>
  <sheetData>
    <row r="1" spans="1:16" x14ac:dyDescent="0.25">
      <c r="A1" s="21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16" x14ac:dyDescent="0.25">
      <c r="A2" s="19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3"/>
    </row>
    <row r="3" spans="1:16" ht="15.75" thickBot="1" x14ac:dyDescent="0.3">
      <c r="A3" s="19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3"/>
    </row>
    <row r="4" spans="1:16" x14ac:dyDescent="0.25">
      <c r="A4" s="211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212"/>
    </row>
    <row r="5" spans="1:16" x14ac:dyDescent="0.25">
      <c r="A5" s="197"/>
      <c r="B5" s="3"/>
      <c r="C5" s="269"/>
      <c r="D5" s="270"/>
      <c r="E5" s="270"/>
      <c r="F5" s="270"/>
      <c r="G5" s="3"/>
      <c r="H5" s="3"/>
      <c r="I5" s="3"/>
      <c r="J5" s="3"/>
      <c r="K5" s="3"/>
      <c r="L5" s="3"/>
      <c r="M5" s="3"/>
      <c r="N5" s="3"/>
      <c r="O5" s="3"/>
      <c r="P5" s="193"/>
    </row>
    <row r="6" spans="1:16" x14ac:dyDescent="0.25">
      <c r="A6" s="197"/>
      <c r="B6" s="3"/>
      <c r="C6" s="270"/>
      <c r="D6" s="270"/>
      <c r="E6" s="270"/>
      <c r="F6" s="270"/>
      <c r="G6" s="3"/>
      <c r="H6" s="271"/>
      <c r="I6" s="269"/>
      <c r="J6" s="269"/>
      <c r="K6" s="269"/>
      <c r="L6" s="269"/>
      <c r="M6" s="269"/>
      <c r="N6" s="269"/>
      <c r="O6" s="269"/>
      <c r="P6" s="272"/>
    </row>
    <row r="7" spans="1:16" x14ac:dyDescent="0.25">
      <c r="A7" s="197"/>
      <c r="B7" s="3"/>
      <c r="C7" s="270"/>
      <c r="D7" s="270"/>
      <c r="E7" s="270"/>
      <c r="F7" s="270"/>
      <c r="G7" s="3"/>
      <c r="H7" s="269"/>
      <c r="I7" s="269"/>
      <c r="J7" s="269"/>
      <c r="K7" s="269"/>
      <c r="L7" s="269"/>
      <c r="M7" s="269"/>
      <c r="N7" s="269"/>
      <c r="O7" s="269"/>
      <c r="P7" s="272"/>
    </row>
    <row r="8" spans="1:16" x14ac:dyDescent="0.25">
      <c r="A8" s="197"/>
      <c r="B8" s="3"/>
      <c r="C8" s="270"/>
      <c r="D8" s="270"/>
      <c r="E8" s="270"/>
      <c r="F8" s="270"/>
      <c r="G8" s="3"/>
      <c r="H8" s="269"/>
      <c r="I8" s="269"/>
      <c r="J8" s="269"/>
      <c r="K8" s="269"/>
      <c r="L8" s="269"/>
      <c r="M8" s="269"/>
      <c r="N8" s="269"/>
      <c r="O8" s="269"/>
      <c r="P8" s="272"/>
    </row>
    <row r="9" spans="1:16" x14ac:dyDescent="0.25">
      <c r="A9" s="197"/>
      <c r="B9" s="3"/>
      <c r="C9" s="270"/>
      <c r="D9" s="270"/>
      <c r="E9" s="270"/>
      <c r="F9" s="270"/>
      <c r="G9" s="3"/>
      <c r="H9" s="3"/>
      <c r="I9" s="3"/>
      <c r="J9" s="3"/>
      <c r="K9" s="3"/>
      <c r="L9" s="3"/>
      <c r="M9" s="3"/>
      <c r="N9" s="3"/>
      <c r="O9" s="3"/>
      <c r="P9" s="193"/>
    </row>
    <row r="10" spans="1:16" ht="23.25" customHeight="1" thickBot="1" x14ac:dyDescent="0.3">
      <c r="A10" s="330" t="s">
        <v>218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2"/>
    </row>
    <row r="11" spans="1:16" x14ac:dyDescent="0.25">
      <c r="A11" s="197"/>
      <c r="B11" s="213"/>
      <c r="C11" s="214"/>
      <c r="D11" s="214"/>
      <c r="E11" s="214"/>
      <c r="F11" s="214"/>
      <c r="G11" s="213"/>
      <c r="H11" s="3"/>
      <c r="I11" s="3"/>
      <c r="J11" s="3"/>
      <c r="K11" s="3"/>
      <c r="L11" s="3"/>
      <c r="M11" s="3"/>
      <c r="N11" s="3"/>
      <c r="O11" s="3"/>
      <c r="P11" s="193"/>
    </row>
    <row r="12" spans="1:16" ht="21" x14ac:dyDescent="0.35">
      <c r="A12" s="197"/>
      <c r="B12" s="3"/>
      <c r="C12" s="3"/>
      <c r="D12" s="3"/>
      <c r="E12" s="215" t="s">
        <v>168</v>
      </c>
      <c r="F12" s="293" t="s">
        <v>165</v>
      </c>
      <c r="G12" s="293"/>
      <c r="H12" s="293"/>
      <c r="I12" s="115"/>
      <c r="J12" s="3"/>
      <c r="K12" s="317" t="s">
        <v>216</v>
      </c>
      <c r="L12" s="318"/>
      <c r="M12" s="318"/>
      <c r="N12" s="318"/>
      <c r="O12" s="3"/>
      <c r="P12" s="193"/>
    </row>
    <row r="13" spans="1:16" ht="15.75" x14ac:dyDescent="0.25">
      <c r="A13" s="197"/>
      <c r="B13" s="294"/>
      <c r="C13" s="294"/>
      <c r="D13" s="167"/>
      <c r="E13" s="167"/>
      <c r="F13" s="167"/>
      <c r="G13" s="3"/>
      <c r="H13" s="3"/>
      <c r="I13" s="3"/>
      <c r="J13" s="216"/>
      <c r="K13" s="3"/>
      <c r="L13" s="3"/>
      <c r="M13" s="3"/>
      <c r="N13" s="3"/>
      <c r="O13" s="3"/>
      <c r="P13" s="193"/>
    </row>
    <row r="14" spans="1:16" ht="21" x14ac:dyDescent="0.35">
      <c r="A14" s="262" t="s">
        <v>224</v>
      </c>
      <c r="B14" s="266">
        <v>2</v>
      </c>
      <c r="C14" s="167"/>
      <c r="D14" s="328" t="s">
        <v>228</v>
      </c>
      <c r="E14" s="329"/>
      <c r="F14" s="335">
        <v>6</v>
      </c>
      <c r="G14" s="335"/>
      <c r="H14" s="3"/>
      <c r="I14" s="336" t="s">
        <v>227</v>
      </c>
      <c r="J14" s="336"/>
      <c r="K14" s="336"/>
      <c r="L14" s="336"/>
      <c r="M14" s="336"/>
      <c r="N14" s="336"/>
      <c r="O14" s="336"/>
      <c r="P14" s="337"/>
    </row>
    <row r="15" spans="1:16" x14ac:dyDescent="0.25">
      <c r="A15" s="19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93"/>
    </row>
    <row r="16" spans="1:16" ht="17.25" x14ac:dyDescent="0.3">
      <c r="A16" s="273" t="s">
        <v>210</v>
      </c>
      <c r="B16" s="274"/>
      <c r="C16" s="274"/>
      <c r="D16" s="274"/>
      <c r="E16" s="274"/>
      <c r="F16" s="275"/>
      <c r="G16" s="121" t="s">
        <v>0</v>
      </c>
      <c r="H16" s="3"/>
      <c r="I16" s="3"/>
      <c r="J16" s="3"/>
      <c r="K16" s="282" t="s">
        <v>16</v>
      </c>
      <c r="L16" s="282"/>
      <c r="M16" s="282"/>
      <c r="N16" s="282"/>
      <c r="O16" s="128">
        <v>140</v>
      </c>
      <c r="P16" s="129" t="s">
        <v>15</v>
      </c>
    </row>
    <row r="17" spans="1:22" ht="15.75" x14ac:dyDescent="0.25">
      <c r="A17" s="284" t="s">
        <v>225</v>
      </c>
      <c r="B17" s="285"/>
      <c r="C17" s="285"/>
      <c r="D17" s="130"/>
      <c r="E17" s="295">
        <v>90666</v>
      </c>
      <c r="F17" s="295"/>
      <c r="G17" s="217"/>
      <c r="H17" s="3"/>
      <c r="I17" s="3"/>
      <c r="J17" s="3"/>
      <c r="K17" s="282" t="s">
        <v>196</v>
      </c>
      <c r="L17" s="282"/>
      <c r="M17" s="282"/>
      <c r="N17" s="282"/>
      <c r="O17" s="128">
        <v>0</v>
      </c>
      <c r="P17" s="129" t="s">
        <v>15</v>
      </c>
    </row>
    <row r="18" spans="1:22" ht="15.75" x14ac:dyDescent="0.25">
      <c r="A18" s="284" t="s">
        <v>169</v>
      </c>
      <c r="B18" s="285"/>
      <c r="C18" s="285"/>
      <c r="D18" s="292"/>
      <c r="E18" s="267" t="s">
        <v>212</v>
      </c>
      <c r="F18" s="267"/>
      <c r="G18" s="3"/>
      <c r="H18" s="3"/>
      <c r="I18" s="3"/>
      <c r="J18" s="3"/>
      <c r="K18" s="282" t="s">
        <v>197</v>
      </c>
      <c r="L18" s="282"/>
      <c r="M18" s="282"/>
      <c r="N18" s="282"/>
      <c r="O18" s="128">
        <v>140</v>
      </c>
      <c r="P18" s="129" t="s">
        <v>15</v>
      </c>
    </row>
    <row r="19" spans="1:22" ht="15" customHeight="1" x14ac:dyDescent="0.25">
      <c r="A19" s="284" t="s">
        <v>24</v>
      </c>
      <c r="B19" s="285"/>
      <c r="C19" s="285"/>
      <c r="D19" s="292"/>
      <c r="E19" s="278">
        <v>2010</v>
      </c>
      <c r="F19" s="279"/>
      <c r="G19" s="3"/>
      <c r="H19" s="3"/>
      <c r="I19" s="3"/>
      <c r="J19" s="3"/>
      <c r="K19" s="340" t="s">
        <v>198</v>
      </c>
      <c r="L19" s="340"/>
      <c r="M19" s="340"/>
      <c r="N19" s="340"/>
      <c r="O19" s="297">
        <f>O17*21</f>
        <v>0</v>
      </c>
      <c r="P19" s="299" t="s">
        <v>15</v>
      </c>
    </row>
    <row r="20" spans="1:22" ht="15.75" customHeight="1" x14ac:dyDescent="0.25">
      <c r="A20" s="131" t="s">
        <v>167</v>
      </c>
      <c r="B20" s="130"/>
      <c r="C20" s="130"/>
      <c r="D20" s="130"/>
      <c r="E20" s="267">
        <v>8</v>
      </c>
      <c r="F20" s="267"/>
      <c r="G20" s="122" t="s">
        <v>189</v>
      </c>
      <c r="H20" s="3"/>
      <c r="I20" s="218"/>
      <c r="J20" s="218"/>
      <c r="K20" s="340"/>
      <c r="L20" s="340"/>
      <c r="M20" s="340"/>
      <c r="N20" s="340"/>
      <c r="O20" s="298"/>
      <c r="P20" s="299"/>
    </row>
    <row r="21" spans="1:22" ht="15" customHeight="1" x14ac:dyDescent="0.25">
      <c r="A21" s="284" t="s">
        <v>170</v>
      </c>
      <c r="B21" s="285"/>
      <c r="C21" s="285"/>
      <c r="D21" s="285"/>
      <c r="E21" s="267" t="s">
        <v>226</v>
      </c>
      <c r="F21" s="267"/>
      <c r="G21" s="3"/>
      <c r="H21" s="3"/>
      <c r="I21" s="218"/>
      <c r="J21" s="218"/>
      <c r="K21" s="340" t="s">
        <v>199</v>
      </c>
      <c r="L21" s="340"/>
      <c r="M21" s="340"/>
      <c r="N21" s="340"/>
      <c r="O21" s="297">
        <f>O18*21</f>
        <v>2940</v>
      </c>
      <c r="P21" s="299" t="s">
        <v>15</v>
      </c>
    </row>
    <row r="22" spans="1:22" ht="15" customHeight="1" x14ac:dyDescent="0.35">
      <c r="A22" s="197"/>
      <c r="B22" s="3"/>
      <c r="C22" s="3"/>
      <c r="D22" s="3"/>
      <c r="E22" s="3"/>
      <c r="F22" s="3"/>
      <c r="G22" s="3"/>
      <c r="H22" s="3"/>
      <c r="I22" s="218"/>
      <c r="J22" s="218"/>
      <c r="K22" s="340"/>
      <c r="L22" s="340"/>
      <c r="M22" s="340"/>
      <c r="N22" s="340"/>
      <c r="O22" s="298"/>
      <c r="P22" s="299"/>
      <c r="T22" s="293"/>
      <c r="U22" s="293"/>
      <c r="V22" s="293"/>
    </row>
    <row r="23" spans="1:22" ht="15" customHeight="1" x14ac:dyDescent="0.25">
      <c r="A23" s="197"/>
      <c r="B23" s="3"/>
      <c r="C23" s="3"/>
      <c r="D23" s="3"/>
      <c r="E23" s="3"/>
      <c r="F23" s="3"/>
      <c r="G23" s="3"/>
      <c r="H23" s="3"/>
      <c r="I23" s="218"/>
      <c r="J23" s="218"/>
      <c r="K23" s="340" t="s">
        <v>200</v>
      </c>
      <c r="L23" s="340"/>
      <c r="M23" s="340"/>
      <c r="N23" s="340"/>
      <c r="O23" s="128">
        <f>O21+O19</f>
        <v>2940</v>
      </c>
      <c r="P23" s="129" t="s">
        <v>15</v>
      </c>
    </row>
    <row r="24" spans="1:22" ht="15.75" customHeight="1" x14ac:dyDescent="0.3">
      <c r="A24" s="290" t="s">
        <v>1</v>
      </c>
      <c r="B24" s="291"/>
      <c r="C24" s="291"/>
      <c r="D24" s="291"/>
      <c r="E24" s="291"/>
      <c r="F24" s="291"/>
      <c r="G24" s="3"/>
      <c r="H24" s="3"/>
      <c r="I24" s="219"/>
      <c r="J24" s="219"/>
      <c r="K24" s="219"/>
      <c r="L24" s="219"/>
      <c r="M24" s="219"/>
      <c r="N24" s="3"/>
      <c r="O24" s="3"/>
      <c r="P24" s="193"/>
    </row>
    <row r="25" spans="1:22" ht="15" customHeight="1" x14ac:dyDescent="0.25">
      <c r="A25" s="282" t="s">
        <v>185</v>
      </c>
      <c r="B25" s="282"/>
      <c r="C25" s="282"/>
      <c r="D25" s="282"/>
      <c r="E25" s="282"/>
      <c r="F25" s="282"/>
      <c r="G25" s="3"/>
      <c r="H25" s="3"/>
      <c r="I25" s="218"/>
      <c r="J25" s="218"/>
      <c r="K25" s="268" t="s">
        <v>229</v>
      </c>
      <c r="L25" s="268"/>
      <c r="M25" s="268"/>
      <c r="N25" s="268"/>
      <c r="O25" s="268"/>
      <c r="P25" s="268"/>
    </row>
    <row r="26" spans="1:22" ht="15" customHeight="1" x14ac:dyDescent="0.25">
      <c r="A26" s="197"/>
      <c r="B26" s="3"/>
      <c r="C26" s="3"/>
      <c r="D26" s="3"/>
      <c r="E26" s="3"/>
      <c r="F26" s="3"/>
      <c r="G26" s="3"/>
      <c r="H26" s="3"/>
      <c r="I26" s="3"/>
      <c r="J26" s="3"/>
      <c r="K26" s="268" t="s">
        <v>230</v>
      </c>
      <c r="L26" s="268"/>
      <c r="M26" s="268"/>
      <c r="N26" s="268"/>
      <c r="O26" s="268"/>
      <c r="P26" s="268"/>
    </row>
    <row r="27" spans="1:22" ht="17.25" x14ac:dyDescent="0.3">
      <c r="A27" s="290" t="s">
        <v>2</v>
      </c>
      <c r="B27" s="291"/>
      <c r="C27" s="291"/>
      <c r="D27" s="291"/>
      <c r="E27" s="291"/>
      <c r="F27" s="291"/>
      <c r="G27" s="3"/>
      <c r="H27" s="3"/>
      <c r="I27" s="3"/>
      <c r="J27" s="3"/>
      <c r="K27" s="268"/>
      <c r="L27" s="268"/>
      <c r="M27" s="268"/>
      <c r="N27" s="268"/>
      <c r="O27" s="268"/>
      <c r="P27" s="268"/>
    </row>
    <row r="28" spans="1:22" ht="15.75" x14ac:dyDescent="0.25">
      <c r="A28" s="284" t="s">
        <v>12</v>
      </c>
      <c r="B28" s="285"/>
      <c r="C28" s="285"/>
      <c r="D28" s="285"/>
      <c r="E28" s="267">
        <v>6</v>
      </c>
      <c r="F28" s="267"/>
      <c r="G28" s="3"/>
      <c r="H28" s="3"/>
      <c r="I28" s="3"/>
      <c r="J28" s="3"/>
      <c r="K28" s="3"/>
      <c r="L28" s="3"/>
      <c r="M28" s="3"/>
      <c r="N28" s="3"/>
      <c r="O28" s="3"/>
      <c r="P28" s="193"/>
    </row>
    <row r="29" spans="1:22" ht="15.75" x14ac:dyDescent="0.25">
      <c r="A29" s="284" t="s">
        <v>10</v>
      </c>
      <c r="B29" s="285"/>
      <c r="C29" s="285"/>
      <c r="D29" s="292"/>
      <c r="E29" s="295">
        <v>2044.63</v>
      </c>
      <c r="F29" s="295"/>
      <c r="G29" s="3"/>
      <c r="H29" s="3"/>
      <c r="I29" s="3"/>
      <c r="J29" s="3"/>
      <c r="K29" s="3"/>
      <c r="L29" s="3"/>
      <c r="M29" s="3"/>
      <c r="N29" s="3"/>
      <c r="O29" s="3"/>
      <c r="P29" s="193"/>
    </row>
    <row r="30" spans="1:22" ht="15.75" x14ac:dyDescent="0.25">
      <c r="A30" s="284" t="s">
        <v>207</v>
      </c>
      <c r="B30" s="285"/>
      <c r="C30" s="285"/>
      <c r="D30" s="292"/>
      <c r="E30" s="341">
        <v>2</v>
      </c>
      <c r="F30" s="342"/>
      <c r="G30" s="3"/>
      <c r="H30" s="3"/>
      <c r="I30" s="3"/>
      <c r="J30" s="3"/>
      <c r="K30" s="3"/>
      <c r="L30" s="3"/>
      <c r="M30" s="3"/>
      <c r="N30" s="3"/>
      <c r="O30" s="3"/>
      <c r="P30" s="193"/>
    </row>
    <row r="31" spans="1:22" ht="15.75" x14ac:dyDescent="0.25">
      <c r="A31" s="284" t="s">
        <v>208</v>
      </c>
      <c r="B31" s="285"/>
      <c r="C31" s="285"/>
      <c r="D31" s="292"/>
      <c r="E31" s="343">
        <v>606.99</v>
      </c>
      <c r="F31" s="344"/>
      <c r="G31" s="3"/>
      <c r="H31" s="3"/>
      <c r="I31" s="3"/>
      <c r="J31" s="3"/>
      <c r="K31" s="3"/>
      <c r="L31" s="3"/>
      <c r="M31" s="3"/>
      <c r="N31" s="3"/>
      <c r="O31" s="3"/>
      <c r="P31" s="193"/>
    </row>
    <row r="32" spans="1:22" ht="15.75" x14ac:dyDescent="0.25">
      <c r="A32" s="284" t="s">
        <v>209</v>
      </c>
      <c r="B32" s="285"/>
      <c r="C32" s="285"/>
      <c r="D32" s="292"/>
      <c r="E32" s="339">
        <v>100000</v>
      </c>
      <c r="F32" s="339"/>
      <c r="G32" s="3"/>
      <c r="H32" s="3"/>
      <c r="I32" s="3"/>
      <c r="J32" s="3"/>
      <c r="K32" s="3"/>
      <c r="L32" s="3"/>
      <c r="M32" s="3"/>
      <c r="N32" s="3"/>
      <c r="O32" s="3"/>
      <c r="P32" s="193"/>
    </row>
    <row r="33" spans="1:16" x14ac:dyDescent="0.25">
      <c r="A33" s="19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93"/>
    </row>
    <row r="34" spans="1:16" ht="15.75" x14ac:dyDescent="0.25">
      <c r="A34" s="286" t="s">
        <v>3</v>
      </c>
      <c r="B34" s="287"/>
      <c r="C34" s="287"/>
      <c r="D34" s="287"/>
      <c r="E34" s="287"/>
      <c r="F34" s="287"/>
      <c r="G34" s="3"/>
      <c r="H34" s="3"/>
      <c r="I34" s="3"/>
      <c r="J34" s="3"/>
      <c r="K34" s="3"/>
      <c r="L34" s="3"/>
      <c r="M34" s="3"/>
      <c r="N34" s="3"/>
      <c r="O34" s="3"/>
      <c r="P34" s="193"/>
    </row>
    <row r="35" spans="1:16" ht="15.75" x14ac:dyDescent="0.25">
      <c r="A35" s="284" t="s">
        <v>20</v>
      </c>
      <c r="B35" s="285"/>
      <c r="C35" s="285"/>
      <c r="D35" s="292"/>
      <c r="E35" s="295">
        <v>3.99</v>
      </c>
      <c r="F35" s="295"/>
      <c r="G35" s="3"/>
      <c r="H35" s="3"/>
      <c r="I35" s="3"/>
      <c r="J35" s="3"/>
      <c r="K35" s="3"/>
      <c r="L35" s="3"/>
      <c r="M35" s="3"/>
      <c r="N35" s="3"/>
      <c r="O35" s="3"/>
      <c r="P35" s="193"/>
    </row>
    <row r="36" spans="1:16" ht="15.75" x14ac:dyDescent="0.25">
      <c r="A36" s="284" t="s">
        <v>18</v>
      </c>
      <c r="B36" s="285"/>
      <c r="C36" s="285"/>
      <c r="D36" s="292"/>
      <c r="E36" s="132">
        <v>2.6</v>
      </c>
      <c r="F36" s="133" t="s">
        <v>19</v>
      </c>
      <c r="G36" s="3"/>
      <c r="H36" s="3"/>
      <c r="I36" s="3"/>
      <c r="J36" s="3"/>
      <c r="K36" s="3"/>
      <c r="L36" s="3"/>
      <c r="M36" s="3"/>
      <c r="N36" s="3"/>
      <c r="O36" s="3"/>
      <c r="P36" s="193"/>
    </row>
    <row r="37" spans="1:16" x14ac:dyDescent="0.25">
      <c r="A37" s="19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93"/>
    </row>
    <row r="38" spans="1:16" ht="17.25" x14ac:dyDescent="0.3">
      <c r="A38" s="288" t="s">
        <v>21</v>
      </c>
      <c r="B38" s="289"/>
      <c r="C38" s="289"/>
      <c r="D38" s="289"/>
      <c r="E38" s="289"/>
      <c r="F38" s="3"/>
      <c r="G38" s="3"/>
      <c r="H38" s="3"/>
      <c r="I38" s="3"/>
      <c r="J38" s="3"/>
      <c r="K38" s="3"/>
      <c r="L38" s="3"/>
      <c r="M38" s="3"/>
      <c r="N38" s="3"/>
      <c r="O38" s="3"/>
      <c r="P38" s="193"/>
    </row>
    <row r="39" spans="1:16" x14ac:dyDescent="0.25">
      <c r="A39" s="197"/>
      <c r="B39" s="322"/>
      <c r="C39" s="322"/>
      <c r="D39" s="323"/>
      <c r="E39" s="320" t="s">
        <v>5</v>
      </c>
      <c r="F39" s="321"/>
      <c r="G39" s="3"/>
      <c r="H39" s="3"/>
      <c r="I39" s="3"/>
      <c r="J39" s="3"/>
      <c r="K39" s="3"/>
      <c r="L39" s="3"/>
      <c r="M39" s="3"/>
      <c r="N39" s="3"/>
      <c r="O39" s="3"/>
      <c r="P39" s="193"/>
    </row>
    <row r="40" spans="1:16" ht="15.75" x14ac:dyDescent="0.25">
      <c r="A40" s="128" t="s">
        <v>4</v>
      </c>
      <c r="B40" s="282" t="s">
        <v>151</v>
      </c>
      <c r="C40" s="282"/>
      <c r="D40" s="282"/>
      <c r="E40" s="132">
        <f>1/E36</f>
        <v>0.38461538461538458</v>
      </c>
      <c r="F40" s="198" t="s">
        <v>6</v>
      </c>
      <c r="G40" s="198"/>
      <c r="H40" s="172"/>
      <c r="I40" s="172"/>
      <c r="J40" s="172"/>
      <c r="K40" s="139">
        <f>E35*E40</f>
        <v>1.5346153846153845</v>
      </c>
      <c r="L40" s="134" t="s">
        <v>14</v>
      </c>
      <c r="M40" s="3"/>
      <c r="N40" s="2"/>
      <c r="O40" s="3"/>
      <c r="P40" s="193"/>
    </row>
    <row r="41" spans="1:16" ht="15.75" x14ac:dyDescent="0.25">
      <c r="A41" s="128" t="s">
        <v>7</v>
      </c>
      <c r="B41" s="282" t="s">
        <v>211</v>
      </c>
      <c r="C41" s="282"/>
      <c r="D41" s="282"/>
      <c r="E41" s="128">
        <v>0.06</v>
      </c>
      <c r="F41" s="172" t="s">
        <v>6</v>
      </c>
      <c r="G41" s="172"/>
      <c r="H41" s="172"/>
      <c r="I41" s="172"/>
      <c r="J41" s="172"/>
      <c r="K41" s="139">
        <f>E41*E35</f>
        <v>0.2394</v>
      </c>
      <c r="L41" s="134" t="s">
        <v>14</v>
      </c>
      <c r="M41" s="3"/>
      <c r="N41" s="3"/>
      <c r="O41" s="3"/>
      <c r="P41" s="193"/>
    </row>
    <row r="42" spans="1:16" ht="15.75" x14ac:dyDescent="0.25">
      <c r="A42" s="128" t="s">
        <v>8</v>
      </c>
      <c r="B42" s="282" t="s">
        <v>9</v>
      </c>
      <c r="C42" s="282"/>
      <c r="D42" s="282"/>
      <c r="E42" s="128"/>
      <c r="F42" s="172"/>
      <c r="G42" s="172"/>
      <c r="H42" s="172"/>
      <c r="I42" s="172"/>
      <c r="J42" s="172"/>
      <c r="K42" s="139">
        <f>((E29*E28)+(E30*E28*E31))/E32</f>
        <v>0.19551659999999998</v>
      </c>
      <c r="L42" s="134" t="s">
        <v>14</v>
      </c>
      <c r="M42" s="3"/>
      <c r="N42" s="3"/>
      <c r="O42" s="3"/>
      <c r="P42" s="193"/>
    </row>
    <row r="43" spans="1:16" ht="15.75" x14ac:dyDescent="0.25">
      <c r="A43" s="128" t="s">
        <v>13</v>
      </c>
      <c r="B43" s="282" t="s">
        <v>215</v>
      </c>
      <c r="C43" s="282"/>
      <c r="D43" s="282"/>
      <c r="E43" s="151">
        <f>0.0065/O23</f>
        <v>2.2108843537414966E-6</v>
      </c>
      <c r="F43" s="283" t="s">
        <v>11</v>
      </c>
      <c r="G43" s="283"/>
      <c r="H43" s="283"/>
      <c r="I43" s="172"/>
      <c r="J43" s="172"/>
      <c r="K43" s="139">
        <f>(E43*E17)</f>
        <v>0.20045204081632653</v>
      </c>
      <c r="L43" s="134" t="s">
        <v>14</v>
      </c>
      <c r="M43" s="220"/>
      <c r="N43" s="3"/>
      <c r="O43" s="3"/>
      <c r="P43" s="193"/>
    </row>
    <row r="44" spans="1:16" ht="15.75" x14ac:dyDescent="0.25">
      <c r="A44" s="280" t="s">
        <v>214</v>
      </c>
      <c r="B44" s="281"/>
      <c r="C44" s="281"/>
      <c r="D44" s="281"/>
      <c r="E44" s="281"/>
      <c r="F44" s="189"/>
      <c r="G44" s="189"/>
      <c r="H44" s="189"/>
      <c r="I44" s="189"/>
      <c r="J44" s="190"/>
      <c r="K44" s="139">
        <f>SUM(K40:K43)</f>
        <v>2.1699840254317109</v>
      </c>
      <c r="L44" s="134" t="s">
        <v>14</v>
      </c>
      <c r="M44" s="3"/>
      <c r="N44" s="3"/>
      <c r="O44" s="3"/>
      <c r="P44" s="193"/>
    </row>
    <row r="45" spans="1:16" ht="21" customHeight="1" x14ac:dyDescent="0.25">
      <c r="A45" s="296" t="s">
        <v>204</v>
      </c>
      <c r="B45" s="296"/>
      <c r="C45" s="296"/>
      <c r="D45" s="296"/>
      <c r="E45" s="296"/>
      <c r="F45" s="296"/>
      <c r="G45" s="296"/>
      <c r="H45" s="296"/>
      <c r="I45" s="296"/>
      <c r="J45" s="296"/>
      <c r="K45" s="149">
        <f>K44*O17</f>
        <v>0</v>
      </c>
      <c r="L45" s="135" t="s">
        <v>17</v>
      </c>
      <c r="M45" s="200"/>
      <c r="N45" s="3"/>
      <c r="O45" s="3"/>
      <c r="P45" s="193"/>
    </row>
    <row r="46" spans="1:16" x14ac:dyDescent="0.25">
      <c r="A46" s="19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93"/>
    </row>
    <row r="47" spans="1:16" ht="18.75" x14ac:dyDescent="0.3">
      <c r="A47" s="324" t="s">
        <v>205</v>
      </c>
      <c r="B47" s="324"/>
      <c r="C47" s="324"/>
      <c r="D47" s="324"/>
      <c r="E47" s="324"/>
      <c r="F47" s="324"/>
      <c r="G47" s="324"/>
      <c r="H47" s="324"/>
      <c r="I47" s="324"/>
      <c r="J47" s="324"/>
      <c r="K47" s="146">
        <f>K44*O21*1.154</f>
        <v>7362.2350021236907</v>
      </c>
      <c r="L47" s="136" t="s">
        <v>17</v>
      </c>
      <c r="M47" s="3"/>
      <c r="N47" s="3"/>
      <c r="O47" s="3"/>
      <c r="P47" s="193"/>
    </row>
    <row r="48" spans="1:16" ht="15.75" x14ac:dyDescent="0.25">
      <c r="A48" s="171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3"/>
      <c r="N48" s="3"/>
      <c r="O48" s="3"/>
      <c r="P48" s="193"/>
    </row>
    <row r="49" spans="1:16" ht="18.75" x14ac:dyDescent="0.3">
      <c r="A49" s="324" t="s">
        <v>206</v>
      </c>
      <c r="B49" s="324"/>
      <c r="C49" s="324"/>
      <c r="D49" s="324"/>
      <c r="E49" s="324"/>
      <c r="F49" s="324"/>
      <c r="G49" s="324"/>
      <c r="H49" s="324"/>
      <c r="I49" s="324"/>
      <c r="J49" s="324"/>
      <c r="K49" s="146">
        <f>K45+K47</f>
        <v>7362.2350021236907</v>
      </c>
      <c r="L49" s="137" t="s">
        <v>17</v>
      </c>
      <c r="M49" s="3"/>
      <c r="N49" s="3"/>
      <c r="O49" s="3"/>
      <c r="P49" s="193"/>
    </row>
    <row r="50" spans="1:16" x14ac:dyDescent="0.25">
      <c r="A50" s="19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93"/>
    </row>
    <row r="51" spans="1:16" ht="15.75" x14ac:dyDescent="0.25">
      <c r="A51" s="276" t="s">
        <v>22</v>
      </c>
      <c r="B51" s="277"/>
      <c r="C51" s="277"/>
      <c r="D51" s="277"/>
      <c r="E51" s="277"/>
      <c r="F51" s="172"/>
      <c r="G51" s="172"/>
      <c r="H51" s="172"/>
      <c r="I51" s="172"/>
      <c r="J51" s="172"/>
      <c r="K51" s="172"/>
      <c r="L51" s="172"/>
      <c r="M51" s="3"/>
      <c r="N51" s="3"/>
      <c r="O51" s="3"/>
      <c r="P51" s="193"/>
    </row>
    <row r="52" spans="1:16" ht="15.75" x14ac:dyDescent="0.25">
      <c r="A52" s="221"/>
      <c r="B52" s="184"/>
      <c r="C52" s="184"/>
      <c r="D52" s="184"/>
      <c r="E52" s="184"/>
      <c r="F52" s="172"/>
      <c r="G52" s="172"/>
      <c r="H52" s="333" t="s">
        <v>26</v>
      </c>
      <c r="I52" s="334"/>
      <c r="J52" s="334"/>
      <c r="K52" s="172"/>
      <c r="L52" s="172"/>
      <c r="M52" s="3"/>
      <c r="N52" s="3"/>
      <c r="O52" s="3"/>
      <c r="P52" s="193"/>
    </row>
    <row r="53" spans="1:16" ht="15.75" x14ac:dyDescent="0.25">
      <c r="A53" s="170" t="s">
        <v>23</v>
      </c>
      <c r="B53" s="168"/>
      <c r="C53" s="312" t="s">
        <v>25</v>
      </c>
      <c r="D53" s="312"/>
      <c r="E53" s="312"/>
      <c r="F53" s="312"/>
      <c r="G53" s="168"/>
      <c r="H53" s="315"/>
      <c r="I53" s="316"/>
      <c r="J53" s="140"/>
      <c r="K53" s="260">
        <f>IF(L53="LINEAR",'DEPRECIAÇÃO LINEAR'!H21,(VLOOKUP(E20,'DEPRECIAÇÃO LINEAR'!W12:AM23,17,0)))</f>
        <v>849.99374999999998</v>
      </c>
      <c r="L53" s="222" t="s">
        <v>190</v>
      </c>
      <c r="M53" s="3"/>
      <c r="N53" s="3"/>
      <c r="O53" s="3"/>
      <c r="P53" s="193"/>
    </row>
    <row r="54" spans="1:16" ht="15.75" x14ac:dyDescent="0.25">
      <c r="A54" s="171" t="s">
        <v>27</v>
      </c>
      <c r="B54" s="172"/>
      <c r="C54" s="283" t="s">
        <v>28</v>
      </c>
      <c r="D54" s="283"/>
      <c r="E54" s="283"/>
      <c r="F54" s="283"/>
      <c r="G54" s="172"/>
      <c r="H54" s="172"/>
      <c r="I54" s="173"/>
      <c r="J54" s="140"/>
      <c r="K54" s="140"/>
      <c r="L54" s="172"/>
      <c r="M54" s="3"/>
      <c r="N54" s="3"/>
      <c r="O54" s="3"/>
      <c r="P54" s="193"/>
    </row>
    <row r="55" spans="1:16" ht="15.75" x14ac:dyDescent="0.25">
      <c r="A55" s="171"/>
      <c r="B55" s="172" t="s">
        <v>130</v>
      </c>
      <c r="C55" s="283" t="s">
        <v>29</v>
      </c>
      <c r="D55" s="283"/>
      <c r="E55" s="283"/>
      <c r="F55" s="283"/>
      <c r="G55" s="172"/>
      <c r="H55" s="172"/>
      <c r="I55" s="173"/>
      <c r="J55" s="140"/>
      <c r="K55" s="140">
        <f>'CUSTO COM PESSOAL'!C60</f>
        <v>3039.4873341866669</v>
      </c>
      <c r="L55" s="172"/>
      <c r="M55" s="3"/>
      <c r="N55" s="3"/>
      <c r="O55" s="3"/>
      <c r="P55" s="193"/>
    </row>
    <row r="56" spans="1:16" ht="15.75" x14ac:dyDescent="0.25">
      <c r="A56" s="171"/>
      <c r="B56" s="172" t="s">
        <v>131</v>
      </c>
      <c r="C56" s="283" t="s">
        <v>94</v>
      </c>
      <c r="D56" s="283"/>
      <c r="E56" s="283"/>
      <c r="F56" s="283"/>
      <c r="G56" s="172"/>
      <c r="H56" s="172"/>
      <c r="I56" s="173"/>
      <c r="J56" s="140"/>
      <c r="K56" s="140">
        <f>'CUSTO COM PESSOAL'!C114</f>
        <v>2424.2111635733336</v>
      </c>
      <c r="L56" s="172"/>
      <c r="M56" s="3"/>
      <c r="N56" s="3"/>
      <c r="O56" s="3"/>
      <c r="P56" s="193"/>
    </row>
    <row r="57" spans="1:16" ht="15.75" x14ac:dyDescent="0.25">
      <c r="A57" s="171" t="s">
        <v>129</v>
      </c>
      <c r="B57" s="172"/>
      <c r="C57" s="283" t="s">
        <v>133</v>
      </c>
      <c r="D57" s="283"/>
      <c r="E57" s="283"/>
      <c r="F57" s="283"/>
      <c r="G57" s="172"/>
      <c r="H57" s="172"/>
      <c r="I57" s="173"/>
      <c r="J57" s="140"/>
      <c r="K57" s="140"/>
      <c r="L57" s="223"/>
      <c r="M57" s="3"/>
      <c r="N57" s="3"/>
      <c r="O57" s="3"/>
      <c r="P57" s="193"/>
    </row>
    <row r="58" spans="1:16" ht="15.75" x14ac:dyDescent="0.25">
      <c r="A58" s="174"/>
      <c r="B58" s="175" t="s">
        <v>132</v>
      </c>
      <c r="C58" s="175" t="s">
        <v>134</v>
      </c>
      <c r="D58" s="175"/>
      <c r="E58" s="175"/>
      <c r="F58" s="175"/>
      <c r="G58" s="175"/>
      <c r="H58" s="175"/>
      <c r="I58" s="176"/>
      <c r="J58" s="140">
        <f>1/100*E17</f>
        <v>906.66</v>
      </c>
      <c r="K58" s="140">
        <f>J58/12</f>
        <v>75.554999999999993</v>
      </c>
      <c r="L58" s="175"/>
      <c r="M58" s="208"/>
      <c r="N58" s="208"/>
      <c r="O58" s="208"/>
      <c r="P58" s="209"/>
    </row>
    <row r="59" spans="1:16" ht="15.75" x14ac:dyDescent="0.25">
      <c r="A59" s="170"/>
      <c r="B59" s="168" t="s">
        <v>135</v>
      </c>
      <c r="C59" s="168" t="s">
        <v>136</v>
      </c>
      <c r="D59" s="168"/>
      <c r="E59" s="168"/>
      <c r="F59" s="168"/>
      <c r="G59" s="168"/>
      <c r="H59" s="168"/>
      <c r="I59" s="179"/>
      <c r="J59" s="177">
        <v>120.64</v>
      </c>
      <c r="K59" s="140">
        <f>J59/12</f>
        <v>10.053333333333333</v>
      </c>
      <c r="L59" s="168"/>
      <c r="M59" s="191"/>
      <c r="N59" s="191"/>
      <c r="O59" s="191"/>
      <c r="P59" s="192"/>
    </row>
    <row r="60" spans="1:16" ht="15.75" x14ac:dyDescent="0.25">
      <c r="A60" s="171"/>
      <c r="B60" s="172" t="s">
        <v>137</v>
      </c>
      <c r="C60" s="283" t="s">
        <v>138</v>
      </c>
      <c r="D60" s="283"/>
      <c r="E60" s="283"/>
      <c r="F60" s="283"/>
      <c r="G60" s="172"/>
      <c r="H60" s="172"/>
      <c r="I60" s="173"/>
      <c r="J60" s="177">
        <v>200.84</v>
      </c>
      <c r="K60" s="140">
        <f>J60/12</f>
        <v>16.736666666666668</v>
      </c>
      <c r="L60" s="172"/>
      <c r="M60" s="3"/>
      <c r="N60" s="3"/>
      <c r="O60" s="3"/>
      <c r="P60" s="193"/>
    </row>
    <row r="61" spans="1:16" ht="15.75" x14ac:dyDescent="0.25">
      <c r="A61" s="171" t="s">
        <v>140</v>
      </c>
      <c r="B61" s="172"/>
      <c r="C61" s="172" t="s">
        <v>139</v>
      </c>
      <c r="D61" s="172"/>
      <c r="E61" s="172"/>
      <c r="F61" s="172"/>
      <c r="G61" s="172"/>
      <c r="H61" s="172"/>
      <c r="I61" s="173"/>
      <c r="J61" s="177">
        <v>164.82</v>
      </c>
      <c r="K61" s="140">
        <f>J61/12</f>
        <v>13.734999999999999</v>
      </c>
      <c r="L61" s="172"/>
      <c r="M61" s="3"/>
      <c r="N61" s="3"/>
      <c r="O61" s="3"/>
      <c r="P61" s="193"/>
    </row>
    <row r="62" spans="1:16" ht="15.75" x14ac:dyDescent="0.25">
      <c r="A62" s="171" t="s">
        <v>156</v>
      </c>
      <c r="B62" s="172"/>
      <c r="C62" s="283" t="s">
        <v>157</v>
      </c>
      <c r="D62" s="283"/>
      <c r="E62" s="283"/>
      <c r="F62" s="283"/>
      <c r="G62" s="283"/>
      <c r="H62" s="172"/>
      <c r="I62" s="173"/>
      <c r="J62" s="177">
        <v>160</v>
      </c>
      <c r="K62" s="140">
        <f>4*J62</f>
        <v>640</v>
      </c>
      <c r="L62" s="172"/>
      <c r="M62" s="3"/>
      <c r="N62" s="3"/>
      <c r="O62" s="3"/>
      <c r="P62" s="193"/>
    </row>
    <row r="63" spans="1:16" ht="15.75" x14ac:dyDescent="0.25">
      <c r="A63" s="180" t="s">
        <v>159</v>
      </c>
      <c r="B63" s="181"/>
      <c r="C63" s="182" t="s">
        <v>162</v>
      </c>
      <c r="D63" s="182"/>
      <c r="E63" s="182"/>
      <c r="F63" s="182"/>
      <c r="G63" s="182"/>
      <c r="H63" s="181"/>
      <c r="I63" s="183"/>
      <c r="J63" s="153">
        <v>1803.64</v>
      </c>
      <c r="K63" s="152">
        <f>J63/12</f>
        <v>150.30333333333334</v>
      </c>
      <c r="L63" s="172"/>
      <c r="M63" s="3"/>
      <c r="N63" s="3"/>
      <c r="O63" s="3"/>
      <c r="P63" s="193"/>
    </row>
    <row r="64" spans="1:16" ht="15.75" x14ac:dyDescent="0.25">
      <c r="A64" s="171" t="s">
        <v>160</v>
      </c>
      <c r="B64" s="172"/>
      <c r="C64" s="283" t="s">
        <v>161</v>
      </c>
      <c r="D64" s="283"/>
      <c r="E64" s="283"/>
      <c r="F64" s="184"/>
      <c r="G64" s="184"/>
      <c r="H64" s="172"/>
      <c r="I64" s="173"/>
      <c r="J64" s="194"/>
      <c r="K64" s="195"/>
      <c r="L64" s="172"/>
      <c r="M64" s="3"/>
      <c r="N64" s="3"/>
      <c r="O64" s="3"/>
      <c r="P64" s="193"/>
    </row>
    <row r="65" spans="1:16" ht="15.75" x14ac:dyDescent="0.25">
      <c r="A65" s="185" t="s">
        <v>201</v>
      </c>
      <c r="B65" s="186"/>
      <c r="C65" s="319" t="s">
        <v>202</v>
      </c>
      <c r="D65" s="319"/>
      <c r="E65" s="319"/>
      <c r="F65" s="319"/>
      <c r="G65" s="166"/>
      <c r="H65" s="186"/>
      <c r="I65" s="187"/>
      <c r="J65" s="178">
        <v>290.83</v>
      </c>
      <c r="K65" s="153">
        <f>J65/24</f>
        <v>12.117916666666666</v>
      </c>
      <c r="L65" s="172"/>
      <c r="M65" s="3"/>
      <c r="N65" s="3"/>
      <c r="O65" s="3"/>
      <c r="P65" s="193"/>
    </row>
    <row r="66" spans="1:16" ht="20.25" customHeight="1" x14ac:dyDescent="0.25">
      <c r="A66" s="296" t="s">
        <v>142</v>
      </c>
      <c r="B66" s="296"/>
      <c r="C66" s="296"/>
      <c r="D66" s="296"/>
      <c r="E66" s="296"/>
      <c r="F66" s="296"/>
      <c r="G66" s="296"/>
      <c r="H66" s="296"/>
      <c r="I66" s="296"/>
      <c r="J66" s="296"/>
      <c r="K66" s="148">
        <f>SUM(K53:K65)</f>
        <v>7232.1934977600004</v>
      </c>
      <c r="L66" s="138" t="s">
        <v>17</v>
      </c>
      <c r="M66" s="196"/>
      <c r="N66" s="3"/>
      <c r="O66" s="3"/>
      <c r="P66" s="193"/>
    </row>
    <row r="67" spans="1:16" x14ac:dyDescent="0.25">
      <c r="A67" s="19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93"/>
    </row>
    <row r="68" spans="1:16" ht="19.5" customHeight="1" x14ac:dyDescent="0.3">
      <c r="A68" s="325" t="s">
        <v>192</v>
      </c>
      <c r="B68" s="325"/>
      <c r="C68" s="325"/>
      <c r="D68" s="325"/>
      <c r="E68" s="325"/>
      <c r="F68" s="325"/>
      <c r="G68" s="325"/>
      <c r="H68" s="325"/>
      <c r="I68" s="325"/>
      <c r="J68" s="3"/>
      <c r="K68" s="147">
        <f>K49+K66</f>
        <v>14594.428499883692</v>
      </c>
      <c r="L68" s="3"/>
      <c r="M68" s="3"/>
      <c r="N68" s="3"/>
      <c r="O68" s="3"/>
      <c r="P68" s="193"/>
    </row>
    <row r="69" spans="1:16" x14ac:dyDescent="0.25">
      <c r="A69" s="19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93"/>
    </row>
    <row r="70" spans="1:16" ht="15.75" x14ac:dyDescent="0.25">
      <c r="A70" s="303" t="s">
        <v>193</v>
      </c>
      <c r="B70" s="303"/>
      <c r="C70" s="303"/>
      <c r="D70" s="303"/>
      <c r="E70" s="303"/>
      <c r="F70" s="3"/>
      <c r="G70" s="3"/>
      <c r="H70" s="3"/>
      <c r="I70" s="338" t="s">
        <v>154</v>
      </c>
      <c r="J70" s="338"/>
      <c r="K70" s="3"/>
      <c r="L70" s="3"/>
      <c r="M70" s="3"/>
      <c r="N70" s="3"/>
      <c r="O70" s="3"/>
      <c r="P70" s="193"/>
    </row>
    <row r="71" spans="1:16" ht="15.75" x14ac:dyDescent="0.25">
      <c r="A71" s="188" t="s">
        <v>152</v>
      </c>
      <c r="B71" s="168"/>
      <c r="C71" s="312" t="s">
        <v>153</v>
      </c>
      <c r="D71" s="312"/>
      <c r="E71" s="312"/>
      <c r="F71" s="312"/>
      <c r="G71" s="179"/>
      <c r="H71" s="172"/>
      <c r="I71" s="143">
        <v>0.05</v>
      </c>
      <c r="J71" s="198"/>
      <c r="K71" s="140">
        <f>0.05*K68</f>
        <v>729.72142499418464</v>
      </c>
      <c r="L71" s="172"/>
      <c r="M71" s="3"/>
      <c r="N71" s="3"/>
      <c r="O71" s="3"/>
      <c r="P71" s="193"/>
    </row>
    <row r="72" spans="1:16" ht="15.75" x14ac:dyDescent="0.25">
      <c r="A72" s="174"/>
      <c r="B72" s="175"/>
      <c r="C72" s="327" t="s">
        <v>158</v>
      </c>
      <c r="D72" s="327"/>
      <c r="E72" s="327"/>
      <c r="F72" s="327"/>
      <c r="G72" s="176"/>
      <c r="H72" s="172"/>
      <c r="I72" s="141">
        <v>0.06</v>
      </c>
      <c r="J72" s="172"/>
      <c r="K72" s="140">
        <f>0.06*(K68+K71)</f>
        <v>919.44899549267257</v>
      </c>
      <c r="L72" s="172"/>
      <c r="M72" s="3"/>
      <c r="N72" s="3"/>
      <c r="O72" s="3"/>
      <c r="P72" s="193"/>
    </row>
    <row r="73" spans="1:16" ht="18.75" x14ac:dyDescent="0.3">
      <c r="A73" s="171"/>
      <c r="B73" s="172"/>
      <c r="C73" s="172"/>
      <c r="D73" s="172"/>
      <c r="E73" s="172"/>
      <c r="F73" s="172"/>
      <c r="G73" s="172"/>
      <c r="H73" s="172"/>
      <c r="I73" s="172"/>
      <c r="J73" s="142" t="s">
        <v>191</v>
      </c>
      <c r="K73" s="146">
        <f>SUM(K71:K72)</f>
        <v>1649.1704204868572</v>
      </c>
      <c r="L73" s="137" t="s">
        <v>17</v>
      </c>
      <c r="M73" s="3"/>
      <c r="N73" s="3"/>
      <c r="O73" s="3"/>
      <c r="P73" s="193"/>
    </row>
    <row r="74" spans="1:16" x14ac:dyDescent="0.25">
      <c r="A74" s="19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93"/>
    </row>
    <row r="75" spans="1:16" ht="15.75" x14ac:dyDescent="0.25">
      <c r="A75" s="303" t="s">
        <v>194</v>
      </c>
      <c r="B75" s="303"/>
      <c r="C75" s="303"/>
      <c r="D75" s="303"/>
      <c r="E75" s="303"/>
      <c r="F75" s="172"/>
      <c r="G75" s="172"/>
      <c r="H75" s="172"/>
      <c r="I75" s="172"/>
      <c r="J75" s="172"/>
      <c r="K75" s="172"/>
      <c r="L75" s="172"/>
      <c r="M75" s="3"/>
      <c r="N75" s="3"/>
      <c r="O75" s="3"/>
      <c r="P75" s="193"/>
    </row>
    <row r="76" spans="1:16" ht="15.75" x14ac:dyDescent="0.25">
      <c r="A76" s="311" t="s">
        <v>141</v>
      </c>
      <c r="B76" s="312"/>
      <c r="C76" s="312"/>
      <c r="D76" s="312"/>
      <c r="E76" s="312"/>
      <c r="F76" s="313"/>
      <c r="G76" s="172"/>
      <c r="H76" s="172"/>
      <c r="I76" s="282" t="s">
        <v>146</v>
      </c>
      <c r="J76" s="282"/>
      <c r="K76" s="144">
        <f>K68+K73</f>
        <v>16243.598920370549</v>
      </c>
      <c r="L76" s="172"/>
      <c r="M76" s="3"/>
      <c r="N76" s="3"/>
      <c r="O76" s="3"/>
      <c r="P76" s="193"/>
    </row>
    <row r="77" spans="1:16" ht="15.75" x14ac:dyDescent="0.25">
      <c r="A77" s="171"/>
      <c r="B77" s="172" t="s">
        <v>143</v>
      </c>
      <c r="C77" s="172"/>
      <c r="D77" s="172"/>
      <c r="E77" s="172"/>
      <c r="F77" s="173"/>
      <c r="G77" s="172"/>
      <c r="H77" s="172"/>
      <c r="I77" s="300">
        <v>0.05</v>
      </c>
      <c r="J77" s="300"/>
      <c r="K77" s="144">
        <f>I77*K76</f>
        <v>812.17994601852752</v>
      </c>
      <c r="L77" s="172"/>
      <c r="M77" s="3"/>
      <c r="N77" s="3"/>
      <c r="O77" s="3"/>
      <c r="P77" s="193"/>
    </row>
    <row r="78" spans="1:16" ht="15.75" x14ac:dyDescent="0.25">
      <c r="A78" s="171"/>
      <c r="B78" s="172" t="s">
        <v>144</v>
      </c>
      <c r="C78" s="172"/>
      <c r="D78" s="172"/>
      <c r="E78" s="172"/>
      <c r="F78" s="173"/>
      <c r="G78" s="172"/>
      <c r="H78" s="172"/>
      <c r="I78" s="301">
        <v>1.6500000000000001E-2</v>
      </c>
      <c r="J78" s="301"/>
      <c r="K78" s="144">
        <f>I78*K76</f>
        <v>268.01938218611406</v>
      </c>
      <c r="L78" s="172"/>
      <c r="M78" s="3"/>
      <c r="N78" s="3"/>
      <c r="O78" s="3"/>
      <c r="P78" s="193"/>
    </row>
    <row r="79" spans="1:16" ht="15.75" x14ac:dyDescent="0.25">
      <c r="A79" s="174"/>
      <c r="B79" s="175" t="s">
        <v>145</v>
      </c>
      <c r="C79" s="175"/>
      <c r="D79" s="175"/>
      <c r="E79" s="175"/>
      <c r="F79" s="176"/>
      <c r="G79" s="172"/>
      <c r="H79" s="172"/>
      <c r="I79" s="302">
        <v>7.5999999999999998E-2</v>
      </c>
      <c r="J79" s="302"/>
      <c r="K79" s="144">
        <f>I79*K76</f>
        <v>1234.5135179481617</v>
      </c>
      <c r="L79" s="172"/>
      <c r="M79" s="3"/>
      <c r="N79" s="3"/>
      <c r="O79" s="3"/>
      <c r="P79" s="193"/>
    </row>
    <row r="80" spans="1:16" ht="21" customHeight="1" x14ac:dyDescent="0.3">
      <c r="A80" s="324" t="s">
        <v>147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145">
        <f>SUM(K77:K79)</f>
        <v>2314.7128461528032</v>
      </c>
      <c r="L80" s="137" t="s">
        <v>17</v>
      </c>
      <c r="M80" s="3"/>
      <c r="N80" s="3"/>
      <c r="O80" s="3"/>
      <c r="P80" s="193"/>
    </row>
    <row r="81" spans="1:20" x14ac:dyDescent="0.25">
      <c r="A81" s="19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93"/>
    </row>
    <row r="82" spans="1:20" x14ac:dyDescent="0.25">
      <c r="A82" s="197"/>
      <c r="B82" s="3"/>
      <c r="C82" s="199"/>
      <c r="D82" s="199"/>
      <c r="E82" s="199"/>
      <c r="F82" s="199"/>
      <c r="G82" s="3"/>
      <c r="H82" s="3"/>
      <c r="I82" s="3"/>
      <c r="J82" s="3"/>
      <c r="K82" s="200"/>
      <c r="L82" s="3"/>
      <c r="M82" s="3"/>
      <c r="N82" s="3"/>
      <c r="O82" s="3"/>
      <c r="P82" s="193"/>
    </row>
    <row r="83" spans="1:20" ht="15.75" x14ac:dyDescent="0.25">
      <c r="A83" s="286" t="s">
        <v>155</v>
      </c>
      <c r="B83" s="286"/>
      <c r="C83" s="286"/>
      <c r="D83" s="286"/>
      <c r="E83" s="286"/>
      <c r="F83" s="286"/>
      <c r="G83" s="286"/>
      <c r="H83" s="286"/>
      <c r="I83" s="286"/>
      <c r="J83" s="3"/>
      <c r="K83" s="3"/>
      <c r="L83" s="3"/>
      <c r="M83" s="3"/>
      <c r="N83" s="3"/>
      <c r="O83" s="3"/>
      <c r="P83" s="193"/>
      <c r="T83" s="126"/>
    </row>
    <row r="84" spans="1:20" ht="15.75" x14ac:dyDescent="0.25">
      <c r="A84" s="201"/>
      <c r="B84" s="202"/>
      <c r="C84" s="202"/>
      <c r="D84" s="202"/>
      <c r="E84" s="202"/>
      <c r="F84" s="202"/>
      <c r="G84" s="202"/>
      <c r="H84" s="202"/>
      <c r="I84" s="202"/>
      <c r="J84" s="3"/>
      <c r="K84" s="3"/>
      <c r="L84" s="3"/>
      <c r="M84" s="3"/>
      <c r="N84" s="3"/>
      <c r="O84" s="3"/>
      <c r="P84" s="193"/>
    </row>
    <row r="85" spans="1:20" ht="15.75" x14ac:dyDescent="0.25">
      <c r="A85" s="286" t="s">
        <v>150</v>
      </c>
      <c r="B85" s="287"/>
      <c r="C85" s="287"/>
      <c r="D85" s="287"/>
      <c r="E85" s="287"/>
      <c r="F85" s="287"/>
      <c r="G85" s="287"/>
      <c r="H85" s="287"/>
      <c r="I85" s="3"/>
      <c r="J85" s="3"/>
      <c r="K85" s="3"/>
      <c r="L85" s="3"/>
      <c r="M85" s="3"/>
      <c r="N85" s="3"/>
      <c r="O85" s="3"/>
      <c r="P85" s="193"/>
    </row>
    <row r="86" spans="1:20" ht="20.25" customHeight="1" x14ac:dyDescent="0.3">
      <c r="A86" s="306" t="s">
        <v>195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03">
        <f>K68+K73+K80</f>
        <v>18558.311766523351</v>
      </c>
      <c r="L86" s="3"/>
      <c r="M86" s="200"/>
      <c r="N86" s="3"/>
      <c r="O86" s="3"/>
      <c r="P86" s="193"/>
    </row>
    <row r="87" spans="1:20" x14ac:dyDescent="0.25">
      <c r="A87" s="204"/>
      <c r="B87" s="199"/>
      <c r="C87" s="199"/>
      <c r="D87" s="199"/>
      <c r="E87" s="199"/>
      <c r="F87" s="199"/>
      <c r="G87" s="199"/>
      <c r="H87" s="199"/>
      <c r="I87" s="199"/>
      <c r="J87" s="199"/>
      <c r="K87" s="200"/>
      <c r="L87" s="3"/>
      <c r="M87" s="3"/>
      <c r="N87" s="3"/>
      <c r="O87" s="3"/>
      <c r="P87" s="193"/>
    </row>
    <row r="88" spans="1:20" ht="16.5" customHeight="1" x14ac:dyDescent="0.25">
      <c r="A88" s="309" t="s">
        <v>148</v>
      </c>
      <c r="B88" s="310"/>
      <c r="C88" s="310"/>
      <c r="D88" s="310"/>
      <c r="E88" s="310"/>
      <c r="F88" s="310"/>
      <c r="G88" s="310"/>
      <c r="H88" s="310"/>
      <c r="I88" s="310"/>
      <c r="J88" s="310"/>
      <c r="K88" s="172"/>
      <c r="L88" s="172"/>
      <c r="M88" s="3"/>
      <c r="N88" s="3"/>
      <c r="O88" s="3"/>
      <c r="P88" s="193"/>
    </row>
    <row r="89" spans="1:20" ht="24.75" customHeight="1" x14ac:dyDescent="0.3">
      <c r="A89" s="307" t="s">
        <v>217</v>
      </c>
      <c r="B89" s="308"/>
      <c r="C89" s="308"/>
      <c r="D89" s="308"/>
      <c r="E89" s="308"/>
      <c r="F89" s="308"/>
      <c r="G89" s="308"/>
      <c r="H89" s="308"/>
      <c r="I89" s="308"/>
      <c r="J89" s="308"/>
      <c r="K89" s="205">
        <f>K86/O23</f>
        <v>6.312350940994337</v>
      </c>
      <c r="L89" s="206" t="s">
        <v>149</v>
      </c>
      <c r="M89" s="3"/>
      <c r="N89" s="3"/>
      <c r="O89" s="3"/>
      <c r="P89" s="193"/>
    </row>
    <row r="90" spans="1:20" x14ac:dyDescent="0.25">
      <c r="A90" s="207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9"/>
    </row>
    <row r="93" spans="1:20" s="98" customFormat="1" x14ac:dyDescent="0.25"/>
    <row r="94" spans="1:20" s="99" customFormat="1" ht="18.75" x14ac:dyDescent="0.3">
      <c r="B94" s="100"/>
      <c r="D94" s="326"/>
      <c r="E94" s="326"/>
      <c r="L94" s="100"/>
      <c r="M94" s="100"/>
      <c r="N94" s="100"/>
      <c r="O94" s="100"/>
    </row>
    <row r="95" spans="1:20" s="99" customFormat="1" x14ac:dyDescent="0.25"/>
    <row r="96" spans="1:20" s="99" customFormat="1" x14ac:dyDescent="0.25">
      <c r="B96" s="305"/>
      <c r="C96" s="305"/>
      <c r="D96" s="101"/>
      <c r="E96" s="101"/>
      <c r="F96" s="314"/>
      <c r="G96" s="314"/>
      <c r="L96" s="102"/>
      <c r="M96" s="102"/>
      <c r="N96" s="102"/>
      <c r="O96" s="102"/>
      <c r="P96" s="102"/>
      <c r="Q96" s="116"/>
    </row>
    <row r="97" spans="2:18" s="99" customFormat="1" x14ac:dyDescent="0.25">
      <c r="B97" s="102"/>
      <c r="D97" s="101"/>
      <c r="E97" s="101"/>
      <c r="F97" s="304"/>
      <c r="G97" s="304"/>
      <c r="L97" s="102"/>
      <c r="M97" s="102"/>
      <c r="N97" s="102"/>
      <c r="O97" s="102"/>
      <c r="P97" s="102"/>
      <c r="Q97" s="102"/>
    </row>
    <row r="98" spans="2:18" s="99" customFormat="1" x14ac:dyDescent="0.25">
      <c r="B98" s="102"/>
      <c r="D98" s="101"/>
      <c r="E98" s="101"/>
      <c r="F98" s="109"/>
      <c r="G98" s="109"/>
      <c r="L98" s="102"/>
      <c r="N98" s="101"/>
      <c r="O98" s="101"/>
      <c r="P98" s="109"/>
      <c r="Q98" s="109"/>
    </row>
    <row r="99" spans="2:18" s="99" customFormat="1" x14ac:dyDescent="0.25">
      <c r="B99" s="305"/>
      <c r="C99" s="305"/>
      <c r="D99" s="305"/>
      <c r="F99" s="304"/>
      <c r="G99" s="304"/>
      <c r="L99" s="102"/>
      <c r="M99" s="102"/>
      <c r="N99" s="102"/>
      <c r="O99" s="102"/>
      <c r="P99" s="102"/>
      <c r="Q99" s="102"/>
    </row>
    <row r="100" spans="2:18" s="99" customFormat="1" x14ac:dyDescent="0.25">
      <c r="B100" s="305"/>
      <c r="C100" s="305"/>
      <c r="D100" s="305"/>
      <c r="F100" s="103"/>
      <c r="G100" s="108"/>
      <c r="L100" s="102"/>
      <c r="M100" s="102"/>
      <c r="N100" s="102"/>
      <c r="O100" s="102"/>
      <c r="P100" s="102"/>
      <c r="Q100" s="110"/>
    </row>
    <row r="101" spans="2:18" s="99" customFormat="1" x14ac:dyDescent="0.25">
      <c r="B101" s="305"/>
      <c r="C101" s="305"/>
      <c r="D101" s="305"/>
      <c r="F101" s="103"/>
      <c r="G101" s="111"/>
      <c r="L101" s="102"/>
      <c r="M101" s="102"/>
      <c r="N101" s="102"/>
      <c r="O101" s="102"/>
      <c r="P101" s="102"/>
      <c r="Q101" s="150"/>
    </row>
    <row r="102" spans="2:18" s="99" customFormat="1" x14ac:dyDescent="0.25">
      <c r="B102" s="305"/>
      <c r="C102" s="305"/>
      <c r="D102" s="104"/>
      <c r="F102" s="103"/>
      <c r="G102" s="103"/>
      <c r="H102" s="102"/>
      <c r="L102" s="102"/>
      <c r="M102" s="102"/>
      <c r="N102" s="102"/>
      <c r="O102" s="102"/>
      <c r="P102" s="102"/>
      <c r="Q102" s="102"/>
    </row>
    <row r="103" spans="2:18" s="99" customFormat="1" x14ac:dyDescent="0.25">
      <c r="B103" s="305"/>
      <c r="C103" s="305"/>
      <c r="D103" s="305"/>
      <c r="F103" s="304"/>
      <c r="G103" s="304"/>
      <c r="L103" s="102"/>
      <c r="M103" s="102"/>
      <c r="N103" s="102"/>
      <c r="O103" s="102"/>
      <c r="P103" s="102"/>
      <c r="Q103" s="102"/>
    </row>
    <row r="104" spans="2:18" s="99" customFormat="1" x14ac:dyDescent="0.25"/>
    <row r="105" spans="2:18" s="99" customFormat="1" x14ac:dyDescent="0.25"/>
    <row r="106" spans="2:18" s="99" customFormat="1" ht="18.75" x14ac:dyDescent="0.3">
      <c r="B106" s="100"/>
      <c r="C106" s="100"/>
      <c r="D106" s="100"/>
      <c r="E106" s="102"/>
      <c r="F106" s="102"/>
      <c r="G106" s="102"/>
      <c r="H106" s="102"/>
      <c r="L106" s="100"/>
      <c r="M106" s="105"/>
      <c r="N106" s="105"/>
      <c r="O106" s="100"/>
    </row>
    <row r="107" spans="2:18" s="99" customFormat="1" x14ac:dyDescent="0.25">
      <c r="B107" s="102"/>
      <c r="C107" s="102"/>
      <c r="D107" s="102"/>
      <c r="E107" s="102"/>
      <c r="F107" s="102"/>
      <c r="G107" s="102"/>
      <c r="H107" s="102"/>
    </row>
    <row r="108" spans="2:18" s="99" customFormat="1" x14ac:dyDescent="0.25">
      <c r="B108" s="305"/>
      <c r="C108" s="305"/>
      <c r="D108" s="101"/>
      <c r="E108" s="101"/>
      <c r="F108" s="304"/>
      <c r="G108" s="304"/>
      <c r="H108" s="102"/>
      <c r="L108" s="305"/>
      <c r="M108" s="305"/>
      <c r="N108" s="101"/>
      <c r="O108" s="101"/>
      <c r="P108" s="304"/>
      <c r="Q108" s="304"/>
      <c r="R108" s="102"/>
    </row>
    <row r="109" spans="2:18" s="99" customFormat="1" x14ac:dyDescent="0.25">
      <c r="B109" s="102"/>
      <c r="C109" s="102"/>
      <c r="D109" s="101"/>
      <c r="E109" s="101"/>
      <c r="F109" s="304"/>
      <c r="G109" s="304"/>
      <c r="H109" s="102"/>
      <c r="L109" s="102"/>
      <c r="M109" s="102"/>
      <c r="N109" s="101"/>
      <c r="O109" s="101"/>
      <c r="P109" s="304"/>
      <c r="Q109" s="304"/>
      <c r="R109" s="102"/>
    </row>
    <row r="110" spans="2:18" s="99" customFormat="1" x14ac:dyDescent="0.25">
      <c r="B110" s="102"/>
      <c r="D110" s="101"/>
      <c r="E110" s="101"/>
      <c r="F110" s="109"/>
      <c r="G110" s="109"/>
      <c r="L110" s="102"/>
      <c r="N110" s="101"/>
      <c r="O110" s="101"/>
      <c r="P110" s="109"/>
      <c r="Q110" s="109"/>
      <c r="R110" s="102"/>
    </row>
    <row r="111" spans="2:18" s="99" customFormat="1" x14ac:dyDescent="0.25">
      <c r="B111" s="305"/>
      <c r="C111" s="305"/>
      <c r="D111" s="305"/>
      <c r="E111" s="102"/>
      <c r="F111" s="304"/>
      <c r="G111" s="304"/>
      <c r="H111" s="102"/>
      <c r="L111" s="305"/>
      <c r="M111" s="305"/>
      <c r="N111" s="305"/>
      <c r="O111" s="102"/>
      <c r="P111" s="304"/>
      <c r="Q111" s="304"/>
      <c r="R111" s="102"/>
    </row>
    <row r="112" spans="2:18" s="99" customFormat="1" x14ac:dyDescent="0.25">
      <c r="B112" s="305"/>
      <c r="C112" s="305"/>
      <c r="D112" s="305"/>
      <c r="E112" s="102"/>
      <c r="F112" s="103"/>
      <c r="G112" s="109"/>
      <c r="H112" s="102"/>
      <c r="L112" s="305"/>
      <c r="M112" s="305"/>
      <c r="N112" s="305"/>
      <c r="O112" s="102"/>
      <c r="P112" s="103"/>
      <c r="Q112" s="109"/>
      <c r="R112" s="102"/>
    </row>
    <row r="113" spans="2:21" s="99" customFormat="1" x14ac:dyDescent="0.25">
      <c r="B113" s="305"/>
      <c r="C113" s="305"/>
      <c r="D113" s="305"/>
      <c r="E113" s="102"/>
      <c r="F113" s="103"/>
      <c r="G113" s="103"/>
      <c r="H113" s="102"/>
      <c r="L113" s="305"/>
      <c r="M113" s="305"/>
      <c r="N113" s="305"/>
      <c r="O113" s="102"/>
      <c r="P113" s="103"/>
      <c r="Q113" s="103"/>
      <c r="R113" s="102"/>
    </row>
    <row r="114" spans="2:21" s="99" customFormat="1" x14ac:dyDescent="0.25">
      <c r="B114" s="305"/>
      <c r="C114" s="305"/>
      <c r="D114" s="104"/>
      <c r="E114" s="102"/>
      <c r="F114" s="103"/>
      <c r="G114" s="103"/>
      <c r="H114" s="102"/>
      <c r="L114" s="305"/>
      <c r="M114" s="305"/>
      <c r="N114" s="104"/>
      <c r="O114" s="102"/>
      <c r="P114" s="103"/>
      <c r="Q114" s="103"/>
      <c r="R114" s="102"/>
    </row>
    <row r="115" spans="2:21" s="99" customFormat="1" x14ac:dyDescent="0.25">
      <c r="B115" s="305"/>
      <c r="C115" s="305"/>
      <c r="D115" s="305"/>
      <c r="E115" s="102"/>
      <c r="F115" s="304"/>
      <c r="G115" s="304"/>
      <c r="H115" s="102"/>
      <c r="L115" s="305"/>
      <c r="M115" s="305"/>
      <c r="N115" s="305"/>
      <c r="O115" s="102"/>
      <c r="P115" s="304"/>
      <c r="Q115" s="304"/>
      <c r="R115" s="102"/>
    </row>
    <row r="116" spans="2:21" s="99" customFormat="1" x14ac:dyDescent="0.25"/>
    <row r="117" spans="2:21" s="99" customFormat="1" x14ac:dyDescent="0.25"/>
    <row r="118" spans="2:21" s="99" customFormat="1" ht="18.75" x14ac:dyDescent="0.3">
      <c r="Q118" s="106"/>
      <c r="R118" s="106"/>
      <c r="T118" s="102"/>
      <c r="U118" s="102"/>
    </row>
    <row r="119" spans="2:21" s="99" customFormat="1" ht="18.75" x14ac:dyDescent="0.3">
      <c r="Q119" s="106"/>
      <c r="R119" s="107"/>
      <c r="T119" s="102"/>
      <c r="U119" s="102"/>
    </row>
    <row r="120" spans="2:21" s="99" customFormat="1" ht="18.75" x14ac:dyDescent="0.3">
      <c r="Q120" s="100"/>
    </row>
    <row r="121" spans="2:21" s="99" customFormat="1" ht="18" customHeight="1" x14ac:dyDescent="0.3">
      <c r="Q121" s="100"/>
    </row>
    <row r="122" spans="2:21" ht="0.75" hidden="1" customHeight="1" x14ac:dyDescent="0.25"/>
    <row r="123" spans="2:21" hidden="1" x14ac:dyDescent="0.25"/>
  </sheetData>
  <mergeCells count="122">
    <mergeCell ref="E31:F31"/>
    <mergeCell ref="A18:D18"/>
    <mergeCell ref="C72:F72"/>
    <mergeCell ref="I76:J76"/>
    <mergeCell ref="D14:E14"/>
    <mergeCell ref="K26:P27"/>
    <mergeCell ref="A10:P10"/>
    <mergeCell ref="H52:J52"/>
    <mergeCell ref="F14:G14"/>
    <mergeCell ref="I14:P14"/>
    <mergeCell ref="A35:D35"/>
    <mergeCell ref="A36:D36"/>
    <mergeCell ref="I70:J70"/>
    <mergeCell ref="A21:D21"/>
    <mergeCell ref="E21:F21"/>
    <mergeCell ref="E32:F32"/>
    <mergeCell ref="A27:F27"/>
    <mergeCell ref="K16:N16"/>
    <mergeCell ref="K17:N17"/>
    <mergeCell ref="K18:N18"/>
    <mergeCell ref="K19:N20"/>
    <mergeCell ref="K21:N22"/>
    <mergeCell ref="K23:N23"/>
    <mergeCell ref="A30:D30"/>
    <mergeCell ref="E30:F30"/>
    <mergeCell ref="A31:D31"/>
    <mergeCell ref="C62:G62"/>
    <mergeCell ref="C64:E64"/>
    <mergeCell ref="B103:D103"/>
    <mergeCell ref="F103:G103"/>
    <mergeCell ref="K12:N12"/>
    <mergeCell ref="C54:F54"/>
    <mergeCell ref="C55:F55"/>
    <mergeCell ref="C65:F65"/>
    <mergeCell ref="B42:D42"/>
    <mergeCell ref="E39:F39"/>
    <mergeCell ref="B40:D40"/>
    <mergeCell ref="B39:D39"/>
    <mergeCell ref="A29:D29"/>
    <mergeCell ref="E35:F35"/>
    <mergeCell ref="A47:J47"/>
    <mergeCell ref="A49:J49"/>
    <mergeCell ref="A68:I68"/>
    <mergeCell ref="A19:D19"/>
    <mergeCell ref="E20:F20"/>
    <mergeCell ref="A83:I83"/>
    <mergeCell ref="D94:E94"/>
    <mergeCell ref="A80:J80"/>
    <mergeCell ref="A70:E70"/>
    <mergeCell ref="C71:F71"/>
    <mergeCell ref="L113:N113"/>
    <mergeCell ref="L112:N112"/>
    <mergeCell ref="T22:V22"/>
    <mergeCell ref="F99:G99"/>
    <mergeCell ref="B100:D100"/>
    <mergeCell ref="B101:D101"/>
    <mergeCell ref="B102:C102"/>
    <mergeCell ref="B96:C96"/>
    <mergeCell ref="A86:J86"/>
    <mergeCell ref="A89:J89"/>
    <mergeCell ref="A88:J88"/>
    <mergeCell ref="E28:F28"/>
    <mergeCell ref="E29:F29"/>
    <mergeCell ref="A76:F76"/>
    <mergeCell ref="C56:F56"/>
    <mergeCell ref="C57:F57"/>
    <mergeCell ref="C60:F60"/>
    <mergeCell ref="A85:H85"/>
    <mergeCell ref="F96:G96"/>
    <mergeCell ref="F97:G97"/>
    <mergeCell ref="B99:D99"/>
    <mergeCell ref="A66:J66"/>
    <mergeCell ref="C53:F53"/>
    <mergeCell ref="H53:I53"/>
    <mergeCell ref="P21:P22"/>
    <mergeCell ref="A25:F25"/>
    <mergeCell ref="I77:J77"/>
    <mergeCell ref="I78:J78"/>
    <mergeCell ref="I79:J79"/>
    <mergeCell ref="A75:E75"/>
    <mergeCell ref="P115:Q115"/>
    <mergeCell ref="B112:D112"/>
    <mergeCell ref="B113:D113"/>
    <mergeCell ref="B114:C114"/>
    <mergeCell ref="B115:D115"/>
    <mergeCell ref="F115:G115"/>
    <mergeCell ref="P108:Q108"/>
    <mergeCell ref="P109:Q109"/>
    <mergeCell ref="L111:N111"/>
    <mergeCell ref="P111:Q111"/>
    <mergeCell ref="B108:C108"/>
    <mergeCell ref="L115:N115"/>
    <mergeCell ref="L108:M108"/>
    <mergeCell ref="F108:G108"/>
    <mergeCell ref="F109:G109"/>
    <mergeCell ref="B111:D111"/>
    <mergeCell ref="F111:G111"/>
    <mergeCell ref="L114:M114"/>
    <mergeCell ref="E18:F18"/>
    <mergeCell ref="K25:P25"/>
    <mergeCell ref="C5:F9"/>
    <mergeCell ref="H6:P8"/>
    <mergeCell ref="A16:F16"/>
    <mergeCell ref="A51:E51"/>
    <mergeCell ref="E19:F19"/>
    <mergeCell ref="A44:E44"/>
    <mergeCell ref="B43:D43"/>
    <mergeCell ref="F43:H43"/>
    <mergeCell ref="A28:D28"/>
    <mergeCell ref="A34:F34"/>
    <mergeCell ref="A38:E38"/>
    <mergeCell ref="A17:C17"/>
    <mergeCell ref="A24:F24"/>
    <mergeCell ref="B41:D41"/>
    <mergeCell ref="A32:D32"/>
    <mergeCell ref="F12:H12"/>
    <mergeCell ref="B13:C13"/>
    <mergeCell ref="E17:F17"/>
    <mergeCell ref="A45:J45"/>
    <mergeCell ref="O19:O20"/>
    <mergeCell ref="P19:P20"/>
    <mergeCell ref="O21:O22"/>
  </mergeCells>
  <conditionalFormatting sqref="P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{62A6BB7F-F7C1-4CA2-B851-B2089D72223A}</x14:id>
        </ext>
      </extLst>
    </cfRule>
  </conditionalFormatting>
  <dataValidations count="3">
    <dataValidation type="list" allowBlank="1" showInputMessage="1" showErrorMessage="1" sqref="F12:H12 T22:V22">
      <formula1>$Q$118:$Q$121</formula1>
    </dataValidation>
    <dataValidation type="list" allowBlank="1" showInputMessage="1" showErrorMessage="1" sqref="L53">
      <formula1>"LINEAR, MÉTODO COLE"</formula1>
    </dataValidation>
    <dataValidation type="list" allowBlank="1" showInputMessage="1" showErrorMessage="1" sqref="E20:F20">
      <formula1>"0,1,2,3,4,5,6,7,8,9,10,11,12,13,14,15"</formula1>
    </dataValidation>
  </dataValidations>
  <pageMargins left="0.51181102362204722" right="0.51181102362204722" top="0.78740157480314965" bottom="0.78740157480314965" header="0.31496062992125984" footer="0.31496062992125984"/>
  <pageSetup paperSize="9" scale="5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7</xdr:col>
                <xdr:colOff>381000</xdr:colOff>
                <xdr:row>3</xdr:row>
                <xdr:rowOff>142875</xdr:rowOff>
              </from>
              <to>
                <xdr:col>8</xdr:col>
                <xdr:colOff>438150</xdr:colOff>
                <xdr:row>5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A6BB7F-F7C1-4CA2-B851-B2089D7222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5"/>
  <sheetViews>
    <sheetView view="pageBreakPreview" topLeftCell="B28" zoomScale="90" zoomScaleNormal="100" zoomScaleSheetLayoutView="90" workbookViewId="0">
      <selection activeCell="B56" sqref="B56"/>
    </sheetView>
  </sheetViews>
  <sheetFormatPr defaultRowHeight="12.75" x14ac:dyDescent="0.25"/>
  <cols>
    <col min="1" max="1" width="9.42578125" style="4" hidden="1" customWidth="1"/>
    <col min="2" max="2" width="46" style="4" customWidth="1"/>
    <col min="3" max="3" width="22.7109375" style="4" customWidth="1"/>
    <col min="4" max="4" width="11.7109375" style="4" customWidth="1"/>
    <col min="5" max="5" width="11" style="69" bestFit="1" customWidth="1"/>
    <col min="6" max="7" width="9.140625" style="4"/>
    <col min="8" max="8" width="12.140625" style="4" bestFit="1" customWidth="1"/>
    <col min="9" max="16384" width="9.140625" style="4"/>
  </cols>
  <sheetData>
    <row r="1" spans="1:16" customFormat="1" ht="15" x14ac:dyDescent="0.25">
      <c r="A1" s="211"/>
      <c r="B1" s="169"/>
      <c r="C1" s="169"/>
      <c r="D1" s="169"/>
      <c r="E1" s="169"/>
      <c r="F1" s="169"/>
      <c r="G1" s="169"/>
      <c r="H1" s="3"/>
      <c r="I1" s="3"/>
      <c r="J1" s="3"/>
      <c r="K1" s="3"/>
      <c r="L1" s="3"/>
      <c r="M1" s="3"/>
      <c r="N1" s="3"/>
      <c r="O1" s="3"/>
      <c r="P1" s="3"/>
    </row>
    <row r="2" spans="1:16" customFormat="1" ht="15" x14ac:dyDescent="0.25">
      <c r="A2" s="197"/>
      <c r="B2" s="3"/>
      <c r="C2" s="224"/>
      <c r="D2" s="225"/>
      <c r="E2" s="225"/>
      <c r="F2" s="22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customFormat="1" ht="15" x14ac:dyDescent="0.25">
      <c r="A3" s="197"/>
      <c r="B3" s="3"/>
      <c r="C3" s="225"/>
      <c r="D3" s="225"/>
      <c r="E3" s="225"/>
      <c r="F3" s="225"/>
      <c r="G3" s="3"/>
      <c r="H3" s="271"/>
      <c r="I3" s="269"/>
      <c r="J3" s="269"/>
      <c r="K3" s="269"/>
      <c r="L3" s="269"/>
      <c r="M3" s="269"/>
      <c r="N3" s="269"/>
      <c r="O3" s="269"/>
      <c r="P3" s="269"/>
    </row>
    <row r="4" spans="1:16" customFormat="1" ht="15" x14ac:dyDescent="0.25">
      <c r="A4" s="197"/>
      <c r="B4" s="3"/>
      <c r="C4" s="225"/>
      <c r="D4" s="225"/>
      <c r="E4" s="225"/>
      <c r="F4" s="225"/>
      <c r="G4" s="3"/>
      <c r="H4" s="269"/>
      <c r="I4" s="269"/>
      <c r="J4" s="269"/>
      <c r="K4" s="269"/>
      <c r="L4" s="269"/>
      <c r="M4" s="269"/>
      <c r="N4" s="269"/>
      <c r="O4" s="269"/>
      <c r="P4" s="269"/>
    </row>
    <row r="5" spans="1:16" customFormat="1" ht="15" x14ac:dyDescent="0.25">
      <c r="A5" s="197"/>
      <c r="B5" s="3"/>
      <c r="C5" s="225"/>
      <c r="D5" s="225"/>
      <c r="E5" s="225"/>
      <c r="F5" s="225"/>
      <c r="G5" s="3"/>
      <c r="H5" s="269"/>
      <c r="I5" s="269"/>
      <c r="J5" s="269"/>
      <c r="K5" s="269"/>
      <c r="L5" s="269"/>
      <c r="M5" s="269"/>
      <c r="N5" s="269"/>
      <c r="O5" s="269"/>
      <c r="P5" s="269"/>
    </row>
    <row r="6" spans="1:16" customFormat="1" ht="15" x14ac:dyDescent="0.25">
      <c r="A6" s="3"/>
      <c r="B6" s="3"/>
      <c r="C6" s="225"/>
      <c r="D6" s="225"/>
      <c r="E6" s="225"/>
      <c r="F6" s="225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customFormat="1" ht="16.5" thickBot="1" x14ac:dyDescent="0.3">
      <c r="A7" s="3"/>
      <c r="B7" s="328" t="s">
        <v>219</v>
      </c>
      <c r="C7" s="328"/>
      <c r="D7" s="328"/>
      <c r="E7" s="328"/>
      <c r="F7" s="328"/>
      <c r="G7" s="328"/>
      <c r="H7" s="328"/>
      <c r="I7" s="3"/>
      <c r="J7" s="3"/>
      <c r="K7" s="3"/>
      <c r="L7" s="3"/>
      <c r="M7" s="3"/>
      <c r="N7" s="3"/>
      <c r="O7" s="3"/>
      <c r="P7" s="3"/>
    </row>
    <row r="8" spans="1:16" ht="13.5" thickBot="1" x14ac:dyDescent="0.3">
      <c r="B8" s="228"/>
      <c r="C8" s="229"/>
      <c r="D8" s="229"/>
      <c r="E8" s="229"/>
      <c r="F8" s="229"/>
      <c r="G8" s="230"/>
      <c r="H8" s="231"/>
    </row>
    <row r="9" spans="1:16" ht="13.5" thickTop="1" x14ac:dyDescent="0.25">
      <c r="B9" s="232" t="s">
        <v>30</v>
      </c>
      <c r="C9" s="8"/>
      <c r="D9" s="6"/>
      <c r="E9" s="6"/>
      <c r="F9" s="6"/>
      <c r="G9" s="69"/>
      <c r="H9" s="233"/>
    </row>
    <row r="10" spans="1:16" x14ac:dyDescent="0.25">
      <c r="B10" s="234" t="s">
        <v>31</v>
      </c>
      <c r="C10" s="10">
        <v>1</v>
      </c>
      <c r="D10" s="6"/>
      <c r="E10" s="6"/>
      <c r="F10" s="6"/>
      <c r="G10" s="69"/>
      <c r="H10" s="233"/>
    </row>
    <row r="11" spans="1:16" x14ac:dyDescent="0.25">
      <c r="B11" s="234" t="s">
        <v>32</v>
      </c>
      <c r="C11" s="10">
        <v>0</v>
      </c>
      <c r="D11" s="6"/>
      <c r="E11" s="6"/>
      <c r="F11" s="6"/>
      <c r="G11" s="69"/>
      <c r="H11" s="233"/>
    </row>
    <row r="12" spans="1:16" ht="24.75" customHeight="1" x14ac:dyDescent="0.25">
      <c r="A12" s="11" t="s">
        <v>164</v>
      </c>
      <c r="B12" s="235" t="s">
        <v>33</v>
      </c>
      <c r="C12" s="13">
        <f>SUM(C10:C11)</f>
        <v>1</v>
      </c>
      <c r="D12" s="6"/>
      <c r="E12" s="6"/>
      <c r="F12" s="6"/>
      <c r="G12" s="69"/>
      <c r="H12" s="233"/>
    </row>
    <row r="13" spans="1:16" ht="37.5" customHeight="1" x14ac:dyDescent="0.25">
      <c r="A13" s="4" t="s">
        <v>163</v>
      </c>
      <c r="B13" s="236" t="s">
        <v>34</v>
      </c>
      <c r="C13" s="15" t="s">
        <v>35</v>
      </c>
      <c r="D13" s="6"/>
      <c r="E13" s="6"/>
      <c r="F13" s="6"/>
      <c r="G13" s="69"/>
      <c r="H13" s="233"/>
    </row>
    <row r="14" spans="1:16" ht="25.5" x14ac:dyDescent="0.25">
      <c r="B14" s="236" t="s">
        <v>36</v>
      </c>
      <c r="C14" s="15" t="s">
        <v>37</v>
      </c>
      <c r="D14" s="6"/>
      <c r="E14" s="6"/>
      <c r="F14" s="6"/>
      <c r="G14" s="69"/>
      <c r="H14" s="233"/>
    </row>
    <row r="15" spans="1:16" x14ac:dyDescent="0.25">
      <c r="B15" s="236" t="s">
        <v>38</v>
      </c>
      <c r="C15" s="97">
        <v>43555</v>
      </c>
      <c r="D15" s="6"/>
      <c r="E15" s="6"/>
      <c r="F15" s="6"/>
      <c r="G15" s="69"/>
      <c r="H15" s="233"/>
    </row>
    <row r="16" spans="1:16" x14ac:dyDescent="0.25">
      <c r="B16" s="234" t="s">
        <v>39</v>
      </c>
      <c r="C16" s="16">
        <v>1359.6</v>
      </c>
      <c r="D16" s="6"/>
      <c r="E16" s="17"/>
      <c r="F16" s="6"/>
      <c r="G16" s="69"/>
      <c r="H16" s="233"/>
    </row>
    <row r="17" spans="1:8" ht="13.5" thickBot="1" x14ac:dyDescent="0.3">
      <c r="B17" s="237" t="s">
        <v>41</v>
      </c>
      <c r="C17" s="19">
        <f>SUM(C16)</f>
        <v>1359.6</v>
      </c>
      <c r="D17" s="6"/>
      <c r="E17" s="6"/>
      <c r="F17" s="6"/>
      <c r="G17" s="69"/>
      <c r="H17" s="233"/>
    </row>
    <row r="18" spans="1:8" ht="14.25" thickTop="1" thickBot="1" x14ac:dyDescent="0.3">
      <c r="B18" s="234"/>
      <c r="C18" s="6"/>
      <c r="D18" s="6"/>
      <c r="E18" s="6"/>
      <c r="F18" s="6"/>
      <c r="G18" s="69"/>
      <c r="H18" s="233"/>
    </row>
    <row r="19" spans="1:8" ht="14.25" thickTop="1" thickBot="1" x14ac:dyDescent="0.3">
      <c r="B19" s="238" t="s">
        <v>42</v>
      </c>
      <c r="C19" s="21"/>
      <c r="D19" s="22"/>
      <c r="E19" s="6"/>
      <c r="F19" s="6"/>
      <c r="G19" s="69"/>
      <c r="H19" s="233"/>
    </row>
    <row r="20" spans="1:8" ht="13.5" thickTop="1" x14ac:dyDescent="0.25">
      <c r="A20" s="11" t="s">
        <v>43</v>
      </c>
      <c r="B20" s="239" t="s">
        <v>44</v>
      </c>
      <c r="C20" s="24" t="s">
        <v>45</v>
      </c>
      <c r="D20" s="25" t="s">
        <v>46</v>
      </c>
      <c r="E20" s="6"/>
      <c r="F20" s="6"/>
      <c r="G20" s="69"/>
      <c r="H20" s="233"/>
    </row>
    <row r="21" spans="1:8" x14ac:dyDescent="0.25">
      <c r="A21" s="4">
        <v>1</v>
      </c>
      <c r="B21" s="240" t="s">
        <v>47</v>
      </c>
      <c r="C21" s="27">
        <f>C$17*D21</f>
        <v>271.92</v>
      </c>
      <c r="D21" s="28">
        <f>'[1]Alíquotas MPOG'!C6</f>
        <v>0.2</v>
      </c>
      <c r="E21" s="6"/>
      <c r="F21" s="6"/>
      <c r="G21" s="69"/>
      <c r="H21" s="233"/>
    </row>
    <row r="22" spans="1:8" x14ac:dyDescent="0.25">
      <c r="A22" s="4">
        <v>2</v>
      </c>
      <c r="B22" s="240" t="s">
        <v>48</v>
      </c>
      <c r="C22" s="27">
        <f t="shared" ref="C22:C28" si="0">C$17*D22</f>
        <v>20.393999999999998</v>
      </c>
      <c r="D22" s="28">
        <f>'[1]Alíquotas MPOG'!C7</f>
        <v>1.4999999999999999E-2</v>
      </c>
      <c r="E22" s="6"/>
      <c r="F22" s="6"/>
      <c r="G22" s="69"/>
      <c r="H22" s="233"/>
    </row>
    <row r="23" spans="1:8" x14ac:dyDescent="0.25">
      <c r="A23" s="4">
        <v>3</v>
      </c>
      <c r="B23" s="240" t="s">
        <v>49</v>
      </c>
      <c r="C23" s="27">
        <f t="shared" si="0"/>
        <v>13.596</v>
      </c>
      <c r="D23" s="28">
        <f>'[1]Alíquotas MPOG'!C8</f>
        <v>0.01</v>
      </c>
      <c r="E23" s="6"/>
      <c r="F23" s="6"/>
      <c r="G23" s="69"/>
      <c r="H23" s="233"/>
    </row>
    <row r="24" spans="1:8" x14ac:dyDescent="0.25">
      <c r="A24" s="4">
        <v>4</v>
      </c>
      <c r="B24" s="240" t="s">
        <v>50</v>
      </c>
      <c r="C24" s="27">
        <f t="shared" si="0"/>
        <v>2.7191999999999998</v>
      </c>
      <c r="D24" s="28">
        <f>'[1]Alíquotas MPOG'!C9</f>
        <v>2E-3</v>
      </c>
      <c r="E24" s="6"/>
      <c r="F24" s="6"/>
      <c r="G24" s="69"/>
      <c r="H24" s="233"/>
    </row>
    <row r="25" spans="1:8" x14ac:dyDescent="0.25">
      <c r="A25" s="4">
        <v>5</v>
      </c>
      <c r="B25" s="240" t="s">
        <v>51</v>
      </c>
      <c r="C25" s="27">
        <f t="shared" si="0"/>
        <v>33.99</v>
      </c>
      <c r="D25" s="28">
        <f>'[1]Alíquotas MPOG'!C10</f>
        <v>2.5000000000000001E-2</v>
      </c>
      <c r="E25" s="6"/>
      <c r="F25" s="6"/>
      <c r="G25" s="69"/>
      <c r="H25" s="233"/>
    </row>
    <row r="26" spans="1:8" x14ac:dyDescent="0.25">
      <c r="A26" s="4">
        <v>6</v>
      </c>
      <c r="B26" s="240" t="s">
        <v>52</v>
      </c>
      <c r="C26" s="27">
        <f t="shared" si="0"/>
        <v>108.768</v>
      </c>
      <c r="D26" s="28">
        <f>'[1]Alíquotas MPOG'!C11</f>
        <v>0.08</v>
      </c>
      <c r="E26" s="6"/>
      <c r="F26" s="6"/>
      <c r="G26" s="69"/>
      <c r="H26" s="233"/>
    </row>
    <row r="27" spans="1:8" x14ac:dyDescent="0.25">
      <c r="A27" s="4">
        <v>7</v>
      </c>
      <c r="B27" s="240" t="s">
        <v>53</v>
      </c>
      <c r="C27" s="27">
        <f t="shared" si="0"/>
        <v>27.192</v>
      </c>
      <c r="D27" s="28">
        <f>'[1]Alíquotas MPOG'!C12</f>
        <v>0.02</v>
      </c>
      <c r="E27" s="6"/>
      <c r="F27" s="6"/>
      <c r="G27" s="69"/>
      <c r="H27" s="233"/>
    </row>
    <row r="28" spans="1:8" x14ac:dyDescent="0.25">
      <c r="A28" s="4">
        <v>8</v>
      </c>
      <c r="B28" s="240" t="s">
        <v>54</v>
      </c>
      <c r="C28" s="27">
        <f t="shared" si="0"/>
        <v>8.1576000000000004</v>
      </c>
      <c r="D28" s="28">
        <f>'[1]Alíquotas MPOG'!C13</f>
        <v>6.0000000000000001E-3</v>
      </c>
      <c r="E28" s="6"/>
      <c r="F28" s="6"/>
      <c r="G28" s="69"/>
      <c r="H28" s="233"/>
    </row>
    <row r="29" spans="1:8" ht="13.5" thickBot="1" x14ac:dyDescent="0.3">
      <c r="B29" s="241" t="s">
        <v>55</v>
      </c>
      <c r="C29" s="30">
        <f>SUM(C21:C28)</f>
        <v>486.73680000000002</v>
      </c>
      <c r="D29" s="31">
        <f>C29/C$17</f>
        <v>0.35800000000000004</v>
      </c>
      <c r="E29" s="6"/>
      <c r="F29" s="6"/>
      <c r="G29" s="69"/>
      <c r="H29" s="233"/>
    </row>
    <row r="30" spans="1:8" ht="13.5" thickTop="1" x14ac:dyDescent="0.25">
      <c r="A30" s="11" t="s">
        <v>56</v>
      </c>
      <c r="B30" s="239" t="s">
        <v>57</v>
      </c>
      <c r="C30" s="24" t="s">
        <v>45</v>
      </c>
      <c r="D30" s="25" t="s">
        <v>46</v>
      </c>
      <c r="E30" s="6"/>
      <c r="F30" s="6"/>
      <c r="G30" s="69"/>
      <c r="H30" s="233"/>
    </row>
    <row r="31" spans="1:8" x14ac:dyDescent="0.25">
      <c r="A31" s="4">
        <v>9</v>
      </c>
      <c r="B31" s="240" t="s">
        <v>223</v>
      </c>
      <c r="C31" s="27">
        <f t="shared" ref="C31:C36" si="1">C$17*D31</f>
        <v>151.05155999999999</v>
      </c>
      <c r="D31" s="28">
        <v>0.1111</v>
      </c>
      <c r="E31" s="6"/>
      <c r="F31" s="6"/>
      <c r="G31" s="69"/>
      <c r="H31" s="233"/>
    </row>
    <row r="32" spans="1:8" x14ac:dyDescent="0.25">
      <c r="A32" s="4">
        <v>10</v>
      </c>
      <c r="B32" s="240" t="s">
        <v>59</v>
      </c>
      <c r="C32" s="27">
        <f t="shared" si="1"/>
        <v>113.25467999999999</v>
      </c>
      <c r="D32" s="28">
        <f>'[1]Alíquotas MPOG'!C17</f>
        <v>8.3299999999999999E-2</v>
      </c>
      <c r="E32" s="6"/>
      <c r="F32" s="6"/>
      <c r="G32" s="69"/>
      <c r="H32" s="233"/>
    </row>
    <row r="33" spans="1:8" x14ac:dyDescent="0.25">
      <c r="A33" s="4">
        <v>11</v>
      </c>
      <c r="B33" s="240" t="s">
        <v>60</v>
      </c>
      <c r="C33" s="27">
        <f t="shared" si="1"/>
        <v>5.5743600000000004</v>
      </c>
      <c r="D33" s="28">
        <v>4.1000000000000003E-3</v>
      </c>
      <c r="E33" s="6"/>
      <c r="F33" s="242"/>
      <c r="G33" s="69"/>
      <c r="H33" s="233"/>
    </row>
    <row r="34" spans="1:8" x14ac:dyDescent="0.25">
      <c r="A34" s="4">
        <v>12</v>
      </c>
      <c r="B34" s="240" t="s">
        <v>61</v>
      </c>
      <c r="C34" s="27">
        <f t="shared" si="1"/>
        <v>0.13596</v>
      </c>
      <c r="D34" s="28">
        <v>1E-4</v>
      </c>
      <c r="E34" s="6"/>
      <c r="F34" s="6"/>
      <c r="G34" s="69"/>
      <c r="H34" s="233"/>
    </row>
    <row r="35" spans="1:8" x14ac:dyDescent="0.25">
      <c r="A35" s="4">
        <v>13</v>
      </c>
      <c r="B35" s="240" t="s">
        <v>62</v>
      </c>
      <c r="C35" s="27">
        <f t="shared" si="1"/>
        <v>3.6709199999999997</v>
      </c>
      <c r="D35" s="28">
        <f>'[1]Alíquotas MPOG'!C19</f>
        <v>2.7000000000000001E-3</v>
      </c>
      <c r="E35" s="6"/>
      <c r="F35" s="242"/>
      <c r="G35" s="243"/>
      <c r="H35" s="233"/>
    </row>
    <row r="36" spans="1:8" x14ac:dyDescent="0.25">
      <c r="A36" s="4">
        <v>14</v>
      </c>
      <c r="B36" s="244" t="s">
        <v>63</v>
      </c>
      <c r="C36" s="33">
        <f t="shared" si="1"/>
        <v>0.9517199999999999</v>
      </c>
      <c r="D36" s="34">
        <v>6.9999999999999999E-4</v>
      </c>
      <c r="E36" s="6"/>
      <c r="F36" s="242"/>
      <c r="G36" s="243"/>
      <c r="H36" s="233"/>
    </row>
    <row r="37" spans="1:8" ht="13.5" thickBot="1" x14ac:dyDescent="0.3">
      <c r="B37" s="241" t="s">
        <v>64</v>
      </c>
      <c r="C37" s="30">
        <f>SUM(C31:C36)</f>
        <v>274.63920000000007</v>
      </c>
      <c r="D37" s="31">
        <f>SUM(D31:D36)</f>
        <v>0.20200000000000001</v>
      </c>
      <c r="E37" s="6"/>
      <c r="F37" s="6"/>
      <c r="G37" s="69"/>
      <c r="H37" s="233"/>
    </row>
    <row r="38" spans="1:8" ht="14.25" thickTop="1" thickBot="1" x14ac:dyDescent="0.3">
      <c r="A38" s="11" t="s">
        <v>65</v>
      </c>
      <c r="B38" s="245" t="s">
        <v>66</v>
      </c>
      <c r="C38" s="36">
        <f>C37*D29</f>
        <v>98.320833600000043</v>
      </c>
      <c r="D38" s="37">
        <f>C38/C$17</f>
        <v>7.2316000000000033E-2</v>
      </c>
      <c r="E38" s="6"/>
      <c r="F38" s="6"/>
      <c r="G38" s="69"/>
      <c r="H38" s="233"/>
    </row>
    <row r="39" spans="1:8" ht="13.5" thickTop="1" x14ac:dyDescent="0.25">
      <c r="A39" s="11" t="s">
        <v>67</v>
      </c>
      <c r="B39" s="239" t="s">
        <v>68</v>
      </c>
      <c r="C39" s="24" t="s">
        <v>45</v>
      </c>
      <c r="D39" s="25" t="s">
        <v>46</v>
      </c>
      <c r="E39" s="6"/>
      <c r="F39" s="6"/>
      <c r="G39" s="69"/>
      <c r="H39" s="233"/>
    </row>
    <row r="40" spans="1:8" x14ac:dyDescent="0.25">
      <c r="A40" s="4">
        <v>15</v>
      </c>
      <c r="B40" s="240" t="s">
        <v>69</v>
      </c>
      <c r="C40" s="27">
        <f>C$17*D40</f>
        <v>26.376239999999999</v>
      </c>
      <c r="D40" s="28">
        <v>1.9400000000000001E-2</v>
      </c>
      <c r="E40" s="6"/>
      <c r="F40" s="6"/>
      <c r="G40" s="69"/>
      <c r="H40" s="233"/>
    </row>
    <row r="41" spans="1:8" x14ac:dyDescent="0.25">
      <c r="A41" s="4">
        <v>16</v>
      </c>
      <c r="B41" s="246" t="s">
        <v>70</v>
      </c>
      <c r="C41" s="39">
        <f>C$17*D41</f>
        <v>33.99</v>
      </c>
      <c r="D41" s="40">
        <f>'[1]Alíquotas MPOG'!C24</f>
        <v>2.5000000000000001E-2</v>
      </c>
      <c r="E41" s="6"/>
      <c r="F41" s="6"/>
      <c r="G41" s="69"/>
      <c r="H41" s="233"/>
    </row>
    <row r="42" spans="1:8" x14ac:dyDescent="0.25">
      <c r="A42" s="11" t="s">
        <v>71</v>
      </c>
      <c r="B42" s="247" t="s">
        <v>72</v>
      </c>
      <c r="C42" s="42">
        <f>(C40+C41)*D29</f>
        <v>21.611113920000005</v>
      </c>
      <c r="D42" s="43">
        <f>C42/C$17</f>
        <v>1.5895200000000005E-2</v>
      </c>
      <c r="E42" s="6"/>
      <c r="F42" s="6"/>
      <c r="G42" s="69"/>
      <c r="H42" s="233"/>
    </row>
    <row r="43" spans="1:8" x14ac:dyDescent="0.25">
      <c r="A43" s="4">
        <v>17</v>
      </c>
      <c r="B43" s="248" t="s">
        <v>73</v>
      </c>
      <c r="C43" s="45">
        <f>C$17*D43</f>
        <v>39.156479999999995</v>
      </c>
      <c r="D43" s="46">
        <f>'[1]Alíquotas MPOG'!C25</f>
        <v>2.8799999999999999E-2</v>
      </c>
      <c r="E43" s="6"/>
      <c r="F43" s="6"/>
      <c r="G43" s="69"/>
      <c r="H43" s="233"/>
    </row>
    <row r="44" spans="1:8" ht="13.5" thickBot="1" x14ac:dyDescent="0.3">
      <c r="B44" s="249" t="s">
        <v>74</v>
      </c>
      <c r="C44" s="48">
        <f>SUM(C40:C43)</f>
        <v>121.13383392</v>
      </c>
      <c r="D44" s="49">
        <f>C44/C$17</f>
        <v>8.9095200000000013E-2</v>
      </c>
      <c r="E44" s="6"/>
      <c r="F44" s="6"/>
      <c r="G44" s="69"/>
      <c r="H44" s="233"/>
    </row>
    <row r="45" spans="1:8" ht="14.25" thickTop="1" thickBot="1" x14ac:dyDescent="0.3">
      <c r="B45" s="234"/>
      <c r="C45" s="6"/>
      <c r="D45" s="261">
        <f>SUM(D31:D36)</f>
        <v>0.20200000000000001</v>
      </c>
      <c r="E45" s="6"/>
      <c r="F45" s="6"/>
      <c r="G45" s="69"/>
      <c r="H45" s="233"/>
    </row>
    <row r="46" spans="1:8" ht="14.25" thickTop="1" thickBot="1" x14ac:dyDescent="0.3">
      <c r="A46" s="11"/>
      <c r="B46" s="250" t="s">
        <v>75</v>
      </c>
      <c r="C46" s="36">
        <f>C29+C37+C38+C44</f>
        <v>980.83066752000013</v>
      </c>
      <c r="D46" s="37">
        <f>C46/C$17</f>
        <v>0.72141120000000014</v>
      </c>
      <c r="E46" s="6"/>
      <c r="F46" s="6"/>
      <c r="G46" s="69"/>
      <c r="H46" s="233"/>
    </row>
    <row r="47" spans="1:8" ht="14.25" thickTop="1" thickBot="1" x14ac:dyDescent="0.3">
      <c r="B47" s="234"/>
      <c r="C47" s="251"/>
      <c r="D47" s="6"/>
      <c r="E47" s="6"/>
      <c r="F47" s="6"/>
      <c r="G47" s="69"/>
      <c r="H47" s="233"/>
    </row>
    <row r="48" spans="1:8" ht="14.25" thickTop="1" thickBot="1" x14ac:dyDescent="0.3">
      <c r="B48" s="238" t="s">
        <v>76</v>
      </c>
      <c r="C48" s="21"/>
      <c r="D48" s="21"/>
      <c r="E48" s="22"/>
      <c r="F48" s="6"/>
      <c r="G48" s="69"/>
      <c r="H48" s="233"/>
    </row>
    <row r="49" spans="1:9" ht="13.5" thickTop="1" x14ac:dyDescent="0.25">
      <c r="A49" s="11" t="s">
        <v>77</v>
      </c>
      <c r="B49" s="239" t="s">
        <v>78</v>
      </c>
      <c r="C49" s="24" t="s">
        <v>45</v>
      </c>
      <c r="D49" s="51" t="s">
        <v>79</v>
      </c>
      <c r="E49" s="52" t="s">
        <v>80</v>
      </c>
      <c r="F49" s="6"/>
      <c r="G49" s="69"/>
      <c r="H49" s="233"/>
    </row>
    <row r="50" spans="1:9" x14ac:dyDescent="0.25">
      <c r="A50" s="4">
        <v>22</v>
      </c>
      <c r="B50" s="252" t="s">
        <v>187</v>
      </c>
      <c r="C50" s="27">
        <v>171.6</v>
      </c>
      <c r="D50" s="54">
        <v>0</v>
      </c>
      <c r="E50" s="55">
        <v>171.6</v>
      </c>
      <c r="F50" s="6"/>
      <c r="G50" s="69"/>
      <c r="H50" s="233"/>
    </row>
    <row r="51" spans="1:9" x14ac:dyDescent="0.25">
      <c r="A51" s="4">
        <v>23</v>
      </c>
      <c r="B51" s="252" t="s">
        <v>81</v>
      </c>
      <c r="C51" s="27">
        <v>206.14</v>
      </c>
      <c r="D51" s="54">
        <v>1</v>
      </c>
      <c r="E51" s="55">
        <v>206.14</v>
      </c>
      <c r="F51" s="6"/>
      <c r="G51" s="69"/>
      <c r="H51" s="233"/>
    </row>
    <row r="52" spans="1:9" ht="15" customHeight="1" x14ac:dyDescent="0.25">
      <c r="B52" s="252" t="s">
        <v>188</v>
      </c>
      <c r="C52" s="123">
        <v>214.65</v>
      </c>
      <c r="D52" s="124"/>
      <c r="E52" s="125">
        <v>214.65</v>
      </c>
      <c r="F52" s="345"/>
      <c r="G52" s="346"/>
      <c r="H52" s="347"/>
    </row>
    <row r="53" spans="1:9" x14ac:dyDescent="0.25">
      <c r="A53" s="4">
        <v>24</v>
      </c>
      <c r="B53" s="263" t="s">
        <v>82</v>
      </c>
      <c r="C53" s="27">
        <f>E53*D53/6</f>
        <v>16.666666666666668</v>
      </c>
      <c r="D53" s="54">
        <v>2</v>
      </c>
      <c r="E53" s="55">
        <v>50</v>
      </c>
      <c r="F53" s="6"/>
      <c r="G53" s="69"/>
      <c r="H53" s="233"/>
    </row>
    <row r="54" spans="1:9" x14ac:dyDescent="0.25">
      <c r="A54" s="4">
        <v>25</v>
      </c>
      <c r="B54" s="263" t="s">
        <v>83</v>
      </c>
      <c r="C54" s="27">
        <v>20</v>
      </c>
      <c r="D54" s="54"/>
      <c r="E54" s="55">
        <v>20</v>
      </c>
      <c r="F54" s="6"/>
      <c r="G54" s="69"/>
      <c r="H54" s="233"/>
    </row>
    <row r="55" spans="1:9" x14ac:dyDescent="0.25">
      <c r="A55" s="4">
        <v>26</v>
      </c>
      <c r="B55" s="263" t="s">
        <v>84</v>
      </c>
      <c r="C55" s="27">
        <f>E55*D55/12</f>
        <v>33.333333333333336</v>
      </c>
      <c r="D55" s="54">
        <v>2</v>
      </c>
      <c r="E55" s="55">
        <v>200</v>
      </c>
      <c r="F55" s="6"/>
      <c r="G55" s="69"/>
      <c r="H55" s="233"/>
    </row>
    <row r="56" spans="1:9" x14ac:dyDescent="0.25">
      <c r="B56" s="264" t="s">
        <v>203</v>
      </c>
      <c r="C56" s="163">
        <f>E56/6</f>
        <v>36.666666666666664</v>
      </c>
      <c r="D56" s="164">
        <v>2</v>
      </c>
      <c r="E56" s="165">
        <v>220</v>
      </c>
      <c r="F56" s="226"/>
      <c r="G56" s="227"/>
      <c r="H56" s="253"/>
      <c r="I56" s="227"/>
    </row>
    <row r="57" spans="1:9" ht="13.5" thickBot="1" x14ac:dyDescent="0.3">
      <c r="B57" s="241" t="s">
        <v>85</v>
      </c>
      <c r="C57" s="30">
        <f>SUM(C50:C56)</f>
        <v>699.05666666666662</v>
      </c>
      <c r="D57" s="56">
        <f>C57/C$17</f>
        <v>0.51416347945474161</v>
      </c>
      <c r="E57" s="57"/>
      <c r="F57" s="6"/>
      <c r="G57" s="69"/>
      <c r="H57" s="233"/>
    </row>
    <row r="58" spans="1:9" ht="14.25" thickTop="1" thickBot="1" x14ac:dyDescent="0.3">
      <c r="B58" s="234"/>
      <c r="C58" s="6"/>
      <c r="D58" s="6"/>
      <c r="E58" s="6"/>
      <c r="F58" s="6"/>
      <c r="G58" s="69"/>
      <c r="H58" s="233"/>
    </row>
    <row r="59" spans="1:9" ht="14.25" thickTop="1" thickBot="1" x14ac:dyDescent="0.3">
      <c r="A59" s="11"/>
      <c r="B59" s="250" t="s">
        <v>86</v>
      </c>
      <c r="C59" s="58">
        <f>C17+C46+C57</f>
        <v>3039.4873341866669</v>
      </c>
      <c r="D59" s="59" t="s">
        <v>87</v>
      </c>
      <c r="E59" s="6"/>
      <c r="F59" s="6"/>
      <c r="G59" s="69"/>
      <c r="H59" s="233"/>
    </row>
    <row r="60" spans="1:9" ht="14.25" thickTop="1" thickBot="1" x14ac:dyDescent="0.3">
      <c r="A60" s="11"/>
      <c r="B60" s="254" t="s">
        <v>88</v>
      </c>
      <c r="C60" s="255">
        <f>C59*C12</f>
        <v>3039.4873341866669</v>
      </c>
      <c r="D60" s="256">
        <f>C60/[1]DEMANDA!B$33</f>
        <v>8.5216085403910138E-2</v>
      </c>
      <c r="E60" s="257"/>
      <c r="F60" s="257"/>
      <c r="G60" s="258"/>
      <c r="H60" s="259"/>
    </row>
    <row r="61" spans="1:9" ht="111.75" customHeight="1" x14ac:dyDescent="0.25">
      <c r="B61" s="5"/>
      <c r="C61" s="5"/>
      <c r="D61" s="5"/>
      <c r="E61" s="6"/>
      <c r="F61" s="5"/>
    </row>
    <row r="62" spans="1:9" ht="111.75" customHeight="1" thickBot="1" x14ac:dyDescent="0.3">
      <c r="B62" s="348"/>
      <c r="C62" s="348"/>
      <c r="D62" s="348"/>
      <c r="E62" s="348"/>
      <c r="F62" s="348"/>
      <c r="G62" s="348"/>
      <c r="H62" s="348"/>
    </row>
    <row r="63" spans="1:9" ht="13.5" thickTop="1" x14ac:dyDescent="0.25">
      <c r="B63" s="7" t="s">
        <v>89</v>
      </c>
      <c r="C63" s="61"/>
      <c r="D63" s="5"/>
      <c r="E63" s="6"/>
      <c r="F63" s="62"/>
    </row>
    <row r="64" spans="1:9" x14ac:dyDescent="0.25">
      <c r="B64" s="9" t="s">
        <v>90</v>
      </c>
      <c r="C64" s="63">
        <v>1</v>
      </c>
      <c r="D64" s="5"/>
      <c r="E64" s="6"/>
      <c r="F64" s="5"/>
    </row>
    <row r="65" spans="1:6" x14ac:dyDescent="0.25">
      <c r="B65" s="9" t="s">
        <v>91</v>
      </c>
      <c r="C65" s="63">
        <v>0</v>
      </c>
      <c r="D65" s="5"/>
      <c r="E65" s="6"/>
      <c r="F65" s="5"/>
    </row>
    <row r="66" spans="1:6" x14ac:dyDescent="0.25">
      <c r="A66" s="11" t="s">
        <v>92</v>
      </c>
      <c r="B66" s="12" t="s">
        <v>93</v>
      </c>
      <c r="C66" s="64">
        <f>SUM(C64:C65)</f>
        <v>1</v>
      </c>
      <c r="D66" s="5"/>
      <c r="E66" s="6"/>
      <c r="F66" s="5"/>
    </row>
    <row r="67" spans="1:6" ht="51" x14ac:dyDescent="0.25">
      <c r="B67" s="14" t="s">
        <v>34</v>
      </c>
      <c r="C67" s="15" t="s">
        <v>35</v>
      </c>
      <c r="D67" s="5"/>
      <c r="E67" s="6"/>
      <c r="F67" s="5"/>
    </row>
    <row r="68" spans="1:6" x14ac:dyDescent="0.25">
      <c r="B68" s="14" t="s">
        <v>36</v>
      </c>
      <c r="C68" s="15" t="s">
        <v>94</v>
      </c>
      <c r="D68" s="5"/>
      <c r="E68" s="6"/>
      <c r="F68" s="5"/>
    </row>
    <row r="69" spans="1:6" x14ac:dyDescent="0.25">
      <c r="B69" s="14" t="s">
        <v>38</v>
      </c>
      <c r="C69" s="97">
        <v>43555</v>
      </c>
      <c r="D69" s="5"/>
      <c r="E69" s="6"/>
      <c r="F69" s="5"/>
    </row>
    <row r="70" spans="1:6" x14ac:dyDescent="0.25">
      <c r="B70" s="9" t="s">
        <v>39</v>
      </c>
      <c r="C70" s="65">
        <v>1008.95</v>
      </c>
      <c r="D70" s="5"/>
      <c r="E70" s="6"/>
      <c r="F70" s="5"/>
    </row>
    <row r="71" spans="1:6" x14ac:dyDescent="0.25">
      <c r="B71" s="9" t="s">
        <v>40</v>
      </c>
      <c r="C71" s="65">
        <v>0</v>
      </c>
      <c r="D71" s="5"/>
      <c r="E71" s="6"/>
      <c r="F71" s="5"/>
    </row>
    <row r="72" spans="1:6" ht="13.5" thickBot="1" x14ac:dyDescent="0.3">
      <c r="B72" s="18" t="s">
        <v>41</v>
      </c>
      <c r="C72" s="66">
        <f>C70+C71</f>
        <v>1008.95</v>
      </c>
      <c r="D72" s="5"/>
      <c r="E72" s="6"/>
      <c r="F72" s="5"/>
    </row>
    <row r="73" spans="1:6" ht="14.25" thickTop="1" thickBot="1" x14ac:dyDescent="0.3">
      <c r="B73" s="5"/>
      <c r="C73" s="5"/>
      <c r="D73" s="5"/>
      <c r="E73" s="6"/>
      <c r="F73" s="5"/>
    </row>
    <row r="74" spans="1:6" ht="14.25" thickTop="1" thickBot="1" x14ac:dyDescent="0.3">
      <c r="B74" s="20" t="s">
        <v>95</v>
      </c>
      <c r="C74" s="21"/>
      <c r="D74" s="22"/>
      <c r="E74" s="6"/>
      <c r="F74" s="5"/>
    </row>
    <row r="75" spans="1:6" ht="13.5" thickTop="1" x14ac:dyDescent="0.25">
      <c r="A75" s="11" t="s">
        <v>43</v>
      </c>
      <c r="B75" s="23" t="s">
        <v>44</v>
      </c>
      <c r="C75" s="24" t="s">
        <v>45</v>
      </c>
      <c r="D75" s="25" t="s">
        <v>46</v>
      </c>
      <c r="E75" s="6"/>
      <c r="F75" s="5"/>
    </row>
    <row r="76" spans="1:6" x14ac:dyDescent="0.25">
      <c r="A76" s="4">
        <v>1</v>
      </c>
      <c r="B76" s="26" t="s">
        <v>47</v>
      </c>
      <c r="C76" s="27">
        <f>C$72*D76</f>
        <v>201.79000000000002</v>
      </c>
      <c r="D76" s="28">
        <f t="shared" ref="D76:D83" si="2">D21</f>
        <v>0.2</v>
      </c>
      <c r="E76" s="6"/>
      <c r="F76" s="5"/>
    </row>
    <row r="77" spans="1:6" x14ac:dyDescent="0.25">
      <c r="A77" s="4">
        <v>2</v>
      </c>
      <c r="B77" s="26" t="s">
        <v>48</v>
      </c>
      <c r="C77" s="27">
        <f t="shared" ref="C77:C83" si="3">C$72*D77</f>
        <v>15.13425</v>
      </c>
      <c r="D77" s="28">
        <f t="shared" si="2"/>
        <v>1.4999999999999999E-2</v>
      </c>
      <c r="E77" s="6"/>
      <c r="F77" s="5"/>
    </row>
    <row r="78" spans="1:6" x14ac:dyDescent="0.25">
      <c r="A78" s="4">
        <v>3</v>
      </c>
      <c r="B78" s="26" t="s">
        <v>49</v>
      </c>
      <c r="C78" s="27">
        <f t="shared" si="3"/>
        <v>10.089500000000001</v>
      </c>
      <c r="D78" s="28">
        <f t="shared" si="2"/>
        <v>0.01</v>
      </c>
      <c r="E78" s="6"/>
      <c r="F78" s="5"/>
    </row>
    <row r="79" spans="1:6" x14ac:dyDescent="0.25">
      <c r="A79" s="4">
        <v>4</v>
      </c>
      <c r="B79" s="26" t="s">
        <v>50</v>
      </c>
      <c r="C79" s="27">
        <f t="shared" si="3"/>
        <v>2.0179</v>
      </c>
      <c r="D79" s="28">
        <f t="shared" si="2"/>
        <v>2E-3</v>
      </c>
      <c r="E79" s="6"/>
      <c r="F79" s="5"/>
    </row>
    <row r="80" spans="1:6" x14ac:dyDescent="0.25">
      <c r="A80" s="4">
        <v>5</v>
      </c>
      <c r="B80" s="26" t="s">
        <v>51</v>
      </c>
      <c r="C80" s="27">
        <f t="shared" si="3"/>
        <v>25.223750000000003</v>
      </c>
      <c r="D80" s="28">
        <f t="shared" si="2"/>
        <v>2.5000000000000001E-2</v>
      </c>
      <c r="E80" s="6"/>
      <c r="F80" s="5"/>
    </row>
    <row r="81" spans="1:6" x14ac:dyDescent="0.25">
      <c r="A81" s="4">
        <v>6</v>
      </c>
      <c r="B81" s="26" t="s">
        <v>52</v>
      </c>
      <c r="C81" s="27">
        <f t="shared" si="3"/>
        <v>80.716000000000008</v>
      </c>
      <c r="D81" s="28">
        <f t="shared" si="2"/>
        <v>0.08</v>
      </c>
      <c r="E81" s="6"/>
      <c r="F81" s="5"/>
    </row>
    <row r="82" spans="1:6" x14ac:dyDescent="0.25">
      <c r="A82" s="4">
        <v>7</v>
      </c>
      <c r="B82" s="26" t="s">
        <v>53</v>
      </c>
      <c r="C82" s="27">
        <f t="shared" si="3"/>
        <v>20.179000000000002</v>
      </c>
      <c r="D82" s="28">
        <f t="shared" si="2"/>
        <v>0.02</v>
      </c>
      <c r="E82" s="6"/>
      <c r="F82" s="5"/>
    </row>
    <row r="83" spans="1:6" x14ac:dyDescent="0.25">
      <c r="A83" s="4">
        <v>8</v>
      </c>
      <c r="B83" s="26" t="s">
        <v>54</v>
      </c>
      <c r="C83" s="27">
        <f t="shared" si="3"/>
        <v>6.0537000000000001</v>
      </c>
      <c r="D83" s="28">
        <f t="shared" si="2"/>
        <v>6.0000000000000001E-3</v>
      </c>
      <c r="E83" s="6"/>
      <c r="F83" s="5"/>
    </row>
    <row r="84" spans="1:6" ht="13.5" thickBot="1" x14ac:dyDescent="0.3">
      <c r="B84" s="29" t="s">
        <v>55</v>
      </c>
      <c r="C84" s="30">
        <f>SUM(C76:C83)</f>
        <v>361.20409999999998</v>
      </c>
      <c r="D84" s="31">
        <f>C84/C$72</f>
        <v>0.35799999999999998</v>
      </c>
      <c r="E84" s="6"/>
      <c r="F84" s="5"/>
    </row>
    <row r="85" spans="1:6" ht="13.5" thickTop="1" x14ac:dyDescent="0.25">
      <c r="A85" s="11" t="s">
        <v>56</v>
      </c>
      <c r="B85" s="23" t="s">
        <v>57</v>
      </c>
      <c r="C85" s="24" t="s">
        <v>45</v>
      </c>
      <c r="D85" s="25" t="s">
        <v>46</v>
      </c>
      <c r="E85" s="6"/>
      <c r="F85" s="5"/>
    </row>
    <row r="86" spans="1:6" x14ac:dyDescent="0.25">
      <c r="A86" s="4">
        <v>9</v>
      </c>
      <c r="B86" s="26" t="s">
        <v>222</v>
      </c>
      <c r="C86" s="27">
        <f t="shared" ref="C86:C91" si="4">C$72*D86</f>
        <v>112.094345</v>
      </c>
      <c r="D86" s="28">
        <v>0.1111</v>
      </c>
      <c r="E86" s="6"/>
      <c r="F86" s="5"/>
    </row>
    <row r="87" spans="1:6" x14ac:dyDescent="0.25">
      <c r="A87" s="4">
        <v>10</v>
      </c>
      <c r="B87" s="26" t="s">
        <v>59</v>
      </c>
      <c r="C87" s="27">
        <f t="shared" si="4"/>
        <v>84.045535000000001</v>
      </c>
      <c r="D87" s="28">
        <f>D32</f>
        <v>8.3299999999999999E-2</v>
      </c>
      <c r="E87" s="6"/>
      <c r="F87" s="5"/>
    </row>
    <row r="88" spans="1:6" x14ac:dyDescent="0.25">
      <c r="A88" s="4">
        <v>11</v>
      </c>
      <c r="B88" s="26" t="s">
        <v>60</v>
      </c>
      <c r="C88" s="27">
        <f t="shared" si="4"/>
        <v>4.1366950000000005</v>
      </c>
      <c r="D88" s="28">
        <f>D33</f>
        <v>4.1000000000000003E-3</v>
      </c>
      <c r="E88" s="6"/>
      <c r="F88" s="5"/>
    </row>
    <row r="89" spans="1:6" x14ac:dyDescent="0.25">
      <c r="A89" s="4">
        <v>12</v>
      </c>
      <c r="B89" s="26" t="s">
        <v>61</v>
      </c>
      <c r="C89" s="27">
        <f t="shared" si="4"/>
        <v>0.10089500000000001</v>
      </c>
      <c r="D89" s="28">
        <f>D34</f>
        <v>1E-4</v>
      </c>
      <c r="E89" s="6"/>
      <c r="F89" s="5"/>
    </row>
    <row r="90" spans="1:6" x14ac:dyDescent="0.25">
      <c r="A90" s="4">
        <v>13</v>
      </c>
      <c r="B90" s="26" t="s">
        <v>62</v>
      </c>
      <c r="C90" s="27">
        <f t="shared" si="4"/>
        <v>2.7241650000000002</v>
      </c>
      <c r="D90" s="28">
        <f>D35</f>
        <v>2.7000000000000001E-3</v>
      </c>
      <c r="E90" s="6"/>
      <c r="F90" s="5"/>
    </row>
    <row r="91" spans="1:6" x14ac:dyDescent="0.25">
      <c r="A91" s="4">
        <v>14</v>
      </c>
      <c r="B91" s="32" t="s">
        <v>63</v>
      </c>
      <c r="C91" s="27">
        <f t="shared" si="4"/>
        <v>0.70626500000000003</v>
      </c>
      <c r="D91" s="34">
        <f>D36</f>
        <v>6.9999999999999999E-4</v>
      </c>
      <c r="E91" s="6"/>
      <c r="F91" s="5"/>
    </row>
    <row r="92" spans="1:6" ht="13.5" thickBot="1" x14ac:dyDescent="0.3">
      <c r="B92" s="29" t="s">
        <v>64</v>
      </c>
      <c r="C92" s="30">
        <f>SUM(C86:C91)</f>
        <v>203.80790000000002</v>
      </c>
      <c r="D92" s="31">
        <f>C92/C$72</f>
        <v>0.20200000000000001</v>
      </c>
      <c r="E92" s="6"/>
      <c r="F92" s="5"/>
    </row>
    <row r="93" spans="1:6" ht="14.25" thickTop="1" thickBot="1" x14ac:dyDescent="0.3">
      <c r="A93" s="11" t="s">
        <v>65</v>
      </c>
      <c r="B93" s="35" t="s">
        <v>66</v>
      </c>
      <c r="C93" s="36">
        <f>C92*D84</f>
        <v>72.963228200000003</v>
      </c>
      <c r="D93" s="37">
        <f>C93/C$72</f>
        <v>7.2316000000000005E-2</v>
      </c>
      <c r="E93" s="6"/>
      <c r="F93" s="5"/>
    </row>
    <row r="94" spans="1:6" ht="13.5" thickTop="1" x14ac:dyDescent="0.25">
      <c r="A94" s="11" t="s">
        <v>67</v>
      </c>
      <c r="B94" s="23" t="s">
        <v>68</v>
      </c>
      <c r="C94" s="24" t="s">
        <v>45</v>
      </c>
      <c r="D94" s="25" t="s">
        <v>46</v>
      </c>
      <c r="E94" s="6"/>
      <c r="F94" s="5"/>
    </row>
    <row r="95" spans="1:6" x14ac:dyDescent="0.25">
      <c r="A95" s="4">
        <v>15</v>
      </c>
      <c r="B95" s="26" t="s">
        <v>69</v>
      </c>
      <c r="C95" s="27">
        <f>C$72*D95</f>
        <v>19.573630000000001</v>
      </c>
      <c r="D95" s="28">
        <f>D40</f>
        <v>1.9400000000000001E-2</v>
      </c>
      <c r="E95" s="6"/>
      <c r="F95" s="5"/>
    </row>
    <row r="96" spans="1:6" x14ac:dyDescent="0.25">
      <c r="A96" s="4">
        <v>16</v>
      </c>
      <c r="B96" s="38" t="s">
        <v>70</v>
      </c>
      <c r="C96" s="39">
        <f>C$72*D96</f>
        <v>25.223750000000003</v>
      </c>
      <c r="D96" s="40">
        <f>D41</f>
        <v>2.5000000000000001E-2</v>
      </c>
      <c r="E96" s="6"/>
      <c r="F96" s="5"/>
    </row>
    <row r="97" spans="1:6" x14ac:dyDescent="0.25">
      <c r="A97" s="11" t="s">
        <v>71</v>
      </c>
      <c r="B97" s="41" t="s">
        <v>72</v>
      </c>
      <c r="C97" s="42">
        <f>(C95+C96)*D84</f>
        <v>16.037462040000001</v>
      </c>
      <c r="D97" s="43">
        <f>C97/C$72</f>
        <v>1.5895200000000002E-2</v>
      </c>
      <c r="E97" s="6"/>
      <c r="F97" s="5"/>
    </row>
    <row r="98" spans="1:6" x14ac:dyDescent="0.25">
      <c r="A98" s="4">
        <v>17</v>
      </c>
      <c r="B98" s="44" t="s">
        <v>73</v>
      </c>
      <c r="C98" s="45">
        <f>C$72*D98</f>
        <v>29.057760000000002</v>
      </c>
      <c r="D98" s="46">
        <f>D43</f>
        <v>2.8799999999999999E-2</v>
      </c>
      <c r="E98" s="6"/>
      <c r="F98" s="5"/>
    </row>
    <row r="99" spans="1:6" ht="13.5" thickBot="1" x14ac:dyDescent="0.3">
      <c r="B99" s="47" t="s">
        <v>74</v>
      </c>
      <c r="C99" s="48">
        <f>SUM(C95:C98)</f>
        <v>89.892602040000014</v>
      </c>
      <c r="D99" s="49">
        <f>C99/C$72</f>
        <v>8.9095200000000013E-2</v>
      </c>
      <c r="E99" s="6"/>
      <c r="F99" s="5"/>
    </row>
    <row r="100" spans="1:6" ht="14.25" thickTop="1" thickBot="1" x14ac:dyDescent="0.3">
      <c r="B100" s="5"/>
      <c r="C100" s="5"/>
      <c r="D100" s="5"/>
      <c r="E100" s="6"/>
      <c r="F100" s="5"/>
    </row>
    <row r="101" spans="1:6" ht="14.25" thickTop="1" thickBot="1" x14ac:dyDescent="0.3">
      <c r="A101" s="11"/>
      <c r="B101" s="50" t="s">
        <v>75</v>
      </c>
      <c r="C101" s="36">
        <f>C84+C92+C93+C99</f>
        <v>727.86783023999999</v>
      </c>
      <c r="D101" s="37">
        <f>C101/C$72</f>
        <v>0.72141119999999992</v>
      </c>
      <c r="E101" s="6"/>
      <c r="F101" s="5"/>
    </row>
    <row r="102" spans="1:6" ht="14.25" thickTop="1" thickBot="1" x14ac:dyDescent="0.3">
      <c r="B102" s="5"/>
      <c r="C102" s="5"/>
      <c r="D102" s="5"/>
      <c r="E102" s="6"/>
      <c r="F102" s="5"/>
    </row>
    <row r="103" spans="1:6" ht="14.25" thickTop="1" thickBot="1" x14ac:dyDescent="0.3">
      <c r="B103" s="20" t="s">
        <v>96</v>
      </c>
      <c r="C103" s="21"/>
      <c r="D103" s="21"/>
      <c r="E103" s="22"/>
      <c r="F103" s="5"/>
    </row>
    <row r="104" spans="1:6" ht="13.5" thickTop="1" x14ac:dyDescent="0.25">
      <c r="A104" s="11" t="s">
        <v>77</v>
      </c>
      <c r="B104" s="23" t="s">
        <v>78</v>
      </c>
      <c r="C104" s="24" t="s">
        <v>45</v>
      </c>
      <c r="D104" s="51" t="s">
        <v>79</v>
      </c>
      <c r="E104" s="52" t="s">
        <v>80</v>
      </c>
      <c r="F104" s="5"/>
    </row>
    <row r="105" spans="1:6" x14ac:dyDescent="0.25">
      <c r="A105" s="4">
        <v>22</v>
      </c>
      <c r="B105" s="53" t="s">
        <v>187</v>
      </c>
      <c r="C105" s="27">
        <v>171.6</v>
      </c>
      <c r="D105" s="67">
        <v>0</v>
      </c>
      <c r="E105" s="68">
        <v>171.6</v>
      </c>
      <c r="F105" s="5"/>
    </row>
    <row r="106" spans="1:6" x14ac:dyDescent="0.25">
      <c r="A106" s="4">
        <v>23</v>
      </c>
      <c r="B106" s="53" t="s">
        <v>213</v>
      </c>
      <c r="C106" s="27">
        <v>206.14</v>
      </c>
      <c r="D106" s="67">
        <v>1</v>
      </c>
      <c r="E106" s="68">
        <v>130</v>
      </c>
      <c r="F106" s="5"/>
    </row>
    <row r="107" spans="1:6" x14ac:dyDescent="0.25">
      <c r="B107" s="53" t="s">
        <v>188</v>
      </c>
      <c r="C107" s="27">
        <v>214.65</v>
      </c>
      <c r="D107" s="67"/>
      <c r="E107" s="68">
        <v>214.65</v>
      </c>
      <c r="F107" s="5"/>
    </row>
    <row r="108" spans="1:6" x14ac:dyDescent="0.25">
      <c r="A108" s="4">
        <v>24</v>
      </c>
      <c r="B108" s="265" t="s">
        <v>82</v>
      </c>
      <c r="C108" s="27">
        <f>E108*D108/12</f>
        <v>8.3333333333333339</v>
      </c>
      <c r="D108" s="67">
        <v>2</v>
      </c>
      <c r="E108" s="68">
        <v>50</v>
      </c>
      <c r="F108" s="5"/>
    </row>
    <row r="109" spans="1:6" x14ac:dyDescent="0.25">
      <c r="A109" s="4">
        <v>25</v>
      </c>
      <c r="B109" s="265" t="s">
        <v>83</v>
      </c>
      <c r="C109" s="27">
        <v>20</v>
      </c>
      <c r="D109" s="67">
        <v>1</v>
      </c>
      <c r="E109" s="68">
        <v>20</v>
      </c>
      <c r="F109" s="5"/>
    </row>
    <row r="110" spans="1:6" x14ac:dyDescent="0.25">
      <c r="A110" s="4">
        <v>26</v>
      </c>
      <c r="B110" s="265" t="s">
        <v>84</v>
      </c>
      <c r="C110" s="27">
        <v>66.67</v>
      </c>
      <c r="D110" s="67">
        <v>2</v>
      </c>
      <c r="E110" s="68">
        <v>200</v>
      </c>
      <c r="F110" s="5"/>
    </row>
    <row r="111" spans="1:6" ht="13.5" thickBot="1" x14ac:dyDescent="0.3">
      <c r="B111" s="29" t="s">
        <v>85</v>
      </c>
      <c r="C111" s="30">
        <f>SUM(C105:C110)</f>
        <v>687.39333333333332</v>
      </c>
      <c r="D111" s="56">
        <f>C111/C72</f>
        <v>0.68129573649173225</v>
      </c>
      <c r="E111" s="57"/>
      <c r="F111" s="5"/>
    </row>
    <row r="112" spans="1:6" ht="14.25" thickTop="1" thickBot="1" x14ac:dyDescent="0.3">
      <c r="B112" s="5"/>
      <c r="C112" s="5"/>
      <c r="D112" s="5"/>
      <c r="E112" s="6"/>
      <c r="F112" s="5"/>
    </row>
    <row r="113" spans="1:6" ht="14.25" thickTop="1" thickBot="1" x14ac:dyDescent="0.3">
      <c r="A113" s="11"/>
      <c r="B113" s="50" t="s">
        <v>86</v>
      </c>
      <c r="C113" s="58">
        <f>C72+C101+C111</f>
        <v>2424.2111635733336</v>
      </c>
      <c r="D113" s="59" t="s">
        <v>87</v>
      </c>
      <c r="E113" s="6"/>
      <c r="F113" s="5"/>
    </row>
    <row r="114" spans="1:6" ht="14.25" thickTop="1" thickBot="1" x14ac:dyDescent="0.3">
      <c r="A114" s="11"/>
      <c r="B114" s="50" t="s">
        <v>97</v>
      </c>
      <c r="C114" s="58">
        <f>C113*C66</f>
        <v>2424.2111635733336</v>
      </c>
      <c r="D114" s="60">
        <f>C114/[1]DEMANDA!B$33</f>
        <v>6.7965996511532289E-2</v>
      </c>
      <c r="E114" s="6"/>
      <c r="F114" s="5"/>
    </row>
    <row r="115" spans="1:6" ht="13.5" thickTop="1" x14ac:dyDescent="0.25">
      <c r="B115" s="5"/>
      <c r="C115" s="5"/>
      <c r="D115" s="5"/>
      <c r="E115" s="6"/>
      <c r="F115" s="5"/>
    </row>
  </sheetData>
  <mergeCells count="4">
    <mergeCell ref="F52:H52"/>
    <mergeCell ref="H3:P5"/>
    <mergeCell ref="B7:H7"/>
    <mergeCell ref="B62:H62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2</xdr:col>
                <xdr:colOff>447675</xdr:colOff>
                <xdr:row>0</xdr:row>
                <xdr:rowOff>104775</xdr:rowOff>
              </from>
              <to>
                <xdr:col>2</xdr:col>
                <xdr:colOff>1314450</xdr:colOff>
                <xdr:row>2</xdr:row>
                <xdr:rowOff>104775</xdr:rowOff>
              </to>
            </anchor>
          </objectPr>
        </oleObject>
      </mc:Choice>
      <mc:Fallback>
        <oleObject progId="Word.Picture.8" shapeId="4097" r:id="rId4"/>
      </mc:Fallback>
    </mc:AlternateContent>
    <mc:AlternateContent xmlns:mc="http://schemas.openxmlformats.org/markup-compatibility/2006">
      <mc:Choice Requires="x14">
        <oleObject progId="Word.Picture.8" shapeId="4098" r:id="rId6">
          <objectPr defaultSize="0" autoPict="0" r:id="rId5">
            <anchor moveWithCells="1" sizeWithCells="1">
              <from>
                <xdr:col>2</xdr:col>
                <xdr:colOff>523875</xdr:colOff>
                <xdr:row>61</xdr:row>
                <xdr:rowOff>104775</xdr:rowOff>
              </from>
              <to>
                <xdr:col>2</xdr:col>
                <xdr:colOff>1390650</xdr:colOff>
                <xdr:row>61</xdr:row>
                <xdr:rowOff>485775</xdr:rowOff>
              </to>
            </anchor>
          </objectPr>
        </oleObject>
      </mc:Choice>
      <mc:Fallback>
        <oleObject progId="Word.Picture.8" shapeId="409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A38" sqref="A38"/>
    </sheetView>
  </sheetViews>
  <sheetFormatPr defaultColWidth="42.7109375" defaultRowHeight="12" x14ac:dyDescent="0.25"/>
  <cols>
    <col min="1" max="2" width="42.7109375" style="70" customWidth="1"/>
    <col min="3" max="3" width="13.140625" style="70" customWidth="1"/>
    <col min="4" max="16384" width="42.7109375" style="70"/>
  </cols>
  <sheetData>
    <row r="1" spans="1:3" ht="94.5" customHeight="1" x14ac:dyDescent="0.25"/>
    <row r="2" spans="1:3" x14ac:dyDescent="0.25">
      <c r="A2" s="349" t="s">
        <v>98</v>
      </c>
      <c r="B2" s="349"/>
      <c r="C2" s="349"/>
    </row>
    <row r="3" spans="1:3" x14ac:dyDescent="0.25">
      <c r="A3" s="349" t="s">
        <v>99</v>
      </c>
      <c r="B3" s="349"/>
      <c r="C3" s="349"/>
    </row>
    <row r="4" spans="1:3" ht="12.75" thickBot="1" x14ac:dyDescent="0.3"/>
    <row r="5" spans="1:3" ht="13.5" thickTop="1" thickBot="1" x14ac:dyDescent="0.3">
      <c r="A5" s="71" t="s">
        <v>100</v>
      </c>
      <c r="B5" s="72"/>
      <c r="C5" s="73"/>
    </row>
    <row r="6" spans="1:3" ht="12.75" thickTop="1" x14ac:dyDescent="0.25">
      <c r="A6" s="74" t="s">
        <v>101</v>
      </c>
      <c r="B6" s="75" t="s">
        <v>102</v>
      </c>
      <c r="C6" s="76" t="s">
        <v>103</v>
      </c>
    </row>
    <row r="7" spans="1:3" x14ac:dyDescent="0.25">
      <c r="A7" s="77" t="s">
        <v>47</v>
      </c>
      <c r="B7" s="78" t="s">
        <v>104</v>
      </c>
      <c r="C7" s="79">
        <v>0.2</v>
      </c>
    </row>
    <row r="8" spans="1:3" x14ac:dyDescent="0.25">
      <c r="A8" s="77" t="s">
        <v>48</v>
      </c>
      <c r="B8" s="78" t="s">
        <v>105</v>
      </c>
      <c r="C8" s="79">
        <v>1.4999999999999999E-2</v>
      </c>
    </row>
    <row r="9" spans="1:3" x14ac:dyDescent="0.25">
      <c r="A9" s="77" t="s">
        <v>49</v>
      </c>
      <c r="B9" s="78" t="s">
        <v>106</v>
      </c>
      <c r="C9" s="79">
        <v>0.01</v>
      </c>
    </row>
    <row r="10" spans="1:3" x14ac:dyDescent="0.25">
      <c r="A10" s="77" t="s">
        <v>50</v>
      </c>
      <c r="B10" s="78" t="s">
        <v>107</v>
      </c>
      <c r="C10" s="79">
        <v>2E-3</v>
      </c>
    </row>
    <row r="11" spans="1:3" x14ac:dyDescent="0.25">
      <c r="A11" s="77" t="s">
        <v>51</v>
      </c>
      <c r="B11" s="78" t="s">
        <v>108</v>
      </c>
      <c r="C11" s="79">
        <v>2.5000000000000001E-2</v>
      </c>
    </row>
    <row r="12" spans="1:3" x14ac:dyDescent="0.25">
      <c r="A12" s="77" t="s">
        <v>52</v>
      </c>
      <c r="B12" s="78" t="s">
        <v>109</v>
      </c>
      <c r="C12" s="79">
        <v>0.08</v>
      </c>
    </row>
    <row r="13" spans="1:3" x14ac:dyDescent="0.25">
      <c r="A13" s="77" t="s">
        <v>220</v>
      </c>
      <c r="B13" s="78" t="s">
        <v>110</v>
      </c>
      <c r="C13" s="79">
        <v>0.02</v>
      </c>
    </row>
    <row r="14" spans="1:3" x14ac:dyDescent="0.25">
      <c r="A14" s="77" t="s">
        <v>221</v>
      </c>
      <c r="B14" s="78" t="s">
        <v>111</v>
      </c>
      <c r="C14" s="79">
        <v>6.0000000000000001E-3</v>
      </c>
    </row>
    <row r="15" spans="1:3" ht="12.75" thickBot="1" x14ac:dyDescent="0.3">
      <c r="A15" s="80"/>
      <c r="B15" s="81"/>
      <c r="C15" s="82"/>
    </row>
    <row r="16" spans="1:3" ht="12.75" thickTop="1" x14ac:dyDescent="0.25">
      <c r="A16" s="74" t="s">
        <v>112</v>
      </c>
      <c r="B16" s="75" t="s">
        <v>102</v>
      </c>
      <c r="C16" s="76" t="s">
        <v>103</v>
      </c>
    </row>
    <row r="17" spans="1:6" ht="24" x14ac:dyDescent="0.25">
      <c r="A17" s="77" t="s">
        <v>58</v>
      </c>
      <c r="B17" s="83" t="s">
        <v>113</v>
      </c>
      <c r="C17" s="79">
        <v>0.1111</v>
      </c>
    </row>
    <row r="18" spans="1:6" x14ac:dyDescent="0.25">
      <c r="A18" s="77" t="s">
        <v>59</v>
      </c>
      <c r="B18" s="83" t="s">
        <v>114</v>
      </c>
      <c r="C18" s="79">
        <v>8.3299999999999999E-2</v>
      </c>
    </row>
    <row r="19" spans="1:6" ht="36" x14ac:dyDescent="0.25">
      <c r="A19" s="77" t="s">
        <v>60</v>
      </c>
      <c r="B19" s="83" t="s">
        <v>115</v>
      </c>
      <c r="C19" s="79">
        <v>1.66E-2</v>
      </c>
    </row>
    <row r="20" spans="1:6" ht="69" customHeight="1" x14ac:dyDescent="0.25">
      <c r="A20" s="77" t="s">
        <v>62</v>
      </c>
      <c r="B20" s="84" t="s">
        <v>116</v>
      </c>
      <c r="C20" s="79">
        <v>2.7000000000000001E-3</v>
      </c>
      <c r="F20" s="85"/>
    </row>
    <row r="21" spans="1:6" ht="80.25" customHeight="1" x14ac:dyDescent="0.25">
      <c r="A21" s="77" t="s">
        <v>61</v>
      </c>
      <c r="B21" s="84" t="s">
        <v>117</v>
      </c>
      <c r="C21" s="79">
        <v>2.0000000000000001E-4</v>
      </c>
      <c r="E21" s="86"/>
    </row>
    <row r="22" spans="1:6" ht="24.75" thickBot="1" x14ac:dyDescent="0.3">
      <c r="A22" s="87" t="s">
        <v>63</v>
      </c>
      <c r="B22" s="84" t="s">
        <v>118</v>
      </c>
      <c r="C22" s="88">
        <v>2.8E-3</v>
      </c>
      <c r="E22" s="86"/>
    </row>
    <row r="23" spans="1:6" ht="12.75" thickTop="1" x14ac:dyDescent="0.25">
      <c r="A23" s="74" t="s">
        <v>119</v>
      </c>
      <c r="B23" s="75" t="s">
        <v>102</v>
      </c>
      <c r="C23" s="76" t="s">
        <v>103</v>
      </c>
    </row>
    <row r="24" spans="1:6" ht="84" x14ac:dyDescent="0.25">
      <c r="A24" s="77" t="s">
        <v>69</v>
      </c>
      <c r="B24" s="84" t="s">
        <v>120</v>
      </c>
      <c r="C24" s="79">
        <v>2.7799999999999998E-2</v>
      </c>
    </row>
    <row r="25" spans="1:6" ht="96" x14ac:dyDescent="0.25">
      <c r="A25" s="77" t="s">
        <v>70</v>
      </c>
      <c r="B25" s="84" t="s">
        <v>121</v>
      </c>
      <c r="C25" s="79">
        <v>2.5000000000000001E-2</v>
      </c>
      <c r="E25" s="89"/>
    </row>
    <row r="26" spans="1:6" ht="84.75" thickBot="1" x14ac:dyDescent="0.3">
      <c r="A26" s="90" t="s">
        <v>122</v>
      </c>
      <c r="B26" s="91" t="s">
        <v>123</v>
      </c>
      <c r="C26" s="92">
        <v>2.8799999999999999E-2</v>
      </c>
      <c r="E26" s="85"/>
    </row>
    <row r="27" spans="1:6" ht="12.75" thickTop="1" x14ac:dyDescent="0.25">
      <c r="A27" s="93" t="s">
        <v>124</v>
      </c>
      <c r="B27" s="94"/>
      <c r="C27" s="95"/>
    </row>
    <row r="28" spans="1:6" x14ac:dyDescent="0.25">
      <c r="A28" s="70" t="s">
        <v>125</v>
      </c>
    </row>
    <row r="29" spans="1:6" x14ac:dyDescent="0.25">
      <c r="A29" s="96" t="s">
        <v>126</v>
      </c>
    </row>
    <row r="30" spans="1:6" x14ac:dyDescent="0.25">
      <c r="A30" s="70" t="s">
        <v>127</v>
      </c>
    </row>
    <row r="31" spans="1:6" x14ac:dyDescent="0.25">
      <c r="A31" s="96" t="s">
        <v>128</v>
      </c>
    </row>
  </sheetData>
  <mergeCells count="2">
    <mergeCell ref="A2:C2"/>
    <mergeCell ref="A3:C3"/>
  </mergeCells>
  <hyperlinks>
    <hyperlink ref="A29" r:id="rId1"/>
    <hyperlink ref="A31" r:id="rId2"/>
  </hyperlinks>
  <pageMargins left="0.25" right="0.25" top="0.75" bottom="0.75" header="0.3" footer="0.3"/>
  <pageSetup paperSize="9" scale="88" fitToWidth="0" orientation="portrait" r:id="rId3"/>
  <drawing r:id="rId4"/>
  <legacyDrawing r:id="rId5"/>
  <oleObjects>
    <mc:AlternateContent xmlns:mc="http://schemas.openxmlformats.org/markup-compatibility/2006">
      <mc:Choice Requires="x14">
        <oleObject progId="Word.Picture.8" shapeId="5121" r:id="rId6">
          <objectPr defaultSize="0" autoPict="0" r:id="rId7">
            <anchor moveWithCells="1" sizeWithCells="1">
              <from>
                <xdr:col>1</xdr:col>
                <xdr:colOff>0</xdr:colOff>
                <xdr:row>0</xdr:row>
                <xdr:rowOff>76200</xdr:rowOff>
              </from>
              <to>
                <xdr:col>1</xdr:col>
                <xdr:colOff>866775</xdr:colOff>
                <xdr:row>0</xdr:row>
                <xdr:rowOff>457200</xdr:rowOff>
              </to>
            </anchor>
          </objectPr>
        </oleObject>
      </mc:Choice>
      <mc:Fallback>
        <oleObject progId="Word.Picture.8" shapeId="5121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M25"/>
  <sheetViews>
    <sheetView workbookViewId="0">
      <selection activeCell="I16" sqref="I16"/>
    </sheetView>
  </sheetViews>
  <sheetFormatPr defaultRowHeight="15" x14ac:dyDescent="0.25"/>
  <cols>
    <col min="7" max="7" width="10" customWidth="1"/>
    <col min="11" max="11" width="4.28515625" customWidth="1"/>
    <col min="12" max="12" width="3.5703125" customWidth="1"/>
    <col min="13" max="13" width="4.5703125" customWidth="1"/>
    <col min="14" max="14" width="5.28515625" customWidth="1"/>
    <col min="15" max="15" width="4.42578125" customWidth="1"/>
    <col min="18" max="18" width="11.5703125" customWidth="1"/>
    <col min="19" max="19" width="5.28515625" customWidth="1"/>
    <col min="20" max="20" width="2.5703125" customWidth="1"/>
    <col min="23" max="23" width="5.5703125" customWidth="1"/>
    <col min="24" max="24" width="6" customWidth="1"/>
    <col min="25" max="25" width="2.5703125" customWidth="1"/>
    <col min="26" max="26" width="2" customWidth="1"/>
    <col min="29" max="29" width="4.28515625" customWidth="1"/>
    <col min="30" max="30" width="3.140625" customWidth="1"/>
    <col min="31" max="31" width="3.85546875" customWidth="1"/>
    <col min="32" max="33" width="2.7109375" customWidth="1"/>
    <col min="34" max="34" width="1.28515625" customWidth="1"/>
    <col min="35" max="35" width="4.7109375" customWidth="1"/>
    <col min="36" max="36" width="3.42578125" customWidth="1"/>
    <col min="37" max="37" width="1.85546875" customWidth="1"/>
    <col min="39" max="39" width="10.140625" bestFit="1" customWidth="1"/>
  </cols>
  <sheetData>
    <row r="2" spans="2:39" ht="18.75" x14ac:dyDescent="0.3">
      <c r="D2" s="350"/>
      <c r="E2" s="350"/>
      <c r="F2" s="350"/>
      <c r="G2" s="350"/>
      <c r="H2" s="350"/>
    </row>
    <row r="4" spans="2:39" ht="18.75" x14ac:dyDescent="0.3">
      <c r="I4" s="351"/>
      <c r="J4" s="351"/>
      <c r="K4" s="351"/>
      <c r="L4" s="351"/>
      <c r="M4" s="351"/>
    </row>
    <row r="6" spans="2:39" ht="17.25" customHeight="1" x14ac:dyDescent="0.25">
      <c r="D6" s="127"/>
      <c r="E6" s="127"/>
      <c r="F6" s="127"/>
      <c r="G6" s="127"/>
      <c r="H6" s="127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</row>
    <row r="7" spans="2:39" x14ac:dyDescent="0.25"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</row>
    <row r="8" spans="2:39" ht="18.75" x14ac:dyDescent="0.3">
      <c r="E8" s="350" t="s">
        <v>186</v>
      </c>
      <c r="F8" s="350"/>
      <c r="G8" s="350"/>
      <c r="H8" s="350"/>
      <c r="I8" s="351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</row>
    <row r="9" spans="2:39" ht="21" x14ac:dyDescent="0.35">
      <c r="B9" s="360" t="s">
        <v>184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Q9" s="154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17"/>
    </row>
    <row r="10" spans="2:39" ht="21" x14ac:dyDescent="0.35">
      <c r="B10" s="361" t="s">
        <v>171</v>
      </c>
      <c r="C10" s="361"/>
      <c r="D10" s="362" t="s">
        <v>172</v>
      </c>
      <c r="E10" s="362"/>
      <c r="F10" s="362"/>
      <c r="G10" s="362"/>
      <c r="H10" s="362"/>
      <c r="I10" s="362"/>
      <c r="J10" s="362"/>
      <c r="K10" s="363" t="s">
        <v>176</v>
      </c>
      <c r="L10" s="363"/>
      <c r="M10" s="363"/>
      <c r="N10" s="363"/>
      <c r="O10" s="363"/>
      <c r="Q10" s="156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8"/>
      <c r="AH10" s="158"/>
      <c r="AI10" s="158"/>
      <c r="AJ10" s="158"/>
      <c r="AK10" s="158"/>
      <c r="AL10" s="158"/>
      <c r="AM10" s="159"/>
    </row>
    <row r="11" spans="2:39" ht="18" customHeight="1" x14ac:dyDescent="0.25">
      <c r="B11" s="361"/>
      <c r="C11" s="361"/>
      <c r="D11" s="364" t="s">
        <v>175</v>
      </c>
      <c r="E11" s="364"/>
      <c r="F11" s="364"/>
      <c r="G11" s="364" t="s">
        <v>173</v>
      </c>
      <c r="H11" s="364"/>
      <c r="I11" s="364"/>
      <c r="J11" s="364"/>
      <c r="K11" s="363"/>
      <c r="L11" s="363"/>
      <c r="M11" s="363"/>
      <c r="N11" s="363"/>
      <c r="O11" s="363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157"/>
      <c r="AM11" s="117"/>
    </row>
    <row r="12" spans="2:39" ht="17.25" customHeight="1" x14ac:dyDescent="0.25">
      <c r="B12" s="361"/>
      <c r="C12" s="361"/>
      <c r="D12" s="364" t="s">
        <v>174</v>
      </c>
      <c r="E12" s="364"/>
      <c r="F12" s="364"/>
      <c r="G12" s="364" t="s">
        <v>174</v>
      </c>
      <c r="H12" s="364"/>
      <c r="I12" s="364"/>
      <c r="J12" s="364"/>
      <c r="K12" s="364" t="s">
        <v>177</v>
      </c>
      <c r="L12" s="365"/>
      <c r="M12" s="365"/>
      <c r="N12" s="365"/>
      <c r="O12" s="365"/>
      <c r="Q12" s="157"/>
      <c r="R12" s="366"/>
      <c r="S12" s="366"/>
      <c r="T12" s="157"/>
      <c r="U12" s="160"/>
      <c r="V12" s="160"/>
      <c r="W12" s="160"/>
      <c r="X12" s="157"/>
      <c r="Y12" s="157"/>
      <c r="Z12" s="157"/>
      <c r="AA12" s="161"/>
      <c r="AB12" s="157"/>
      <c r="AC12" s="157"/>
      <c r="AD12" s="157"/>
      <c r="AE12" s="157"/>
      <c r="AF12" s="157"/>
      <c r="AG12" s="367"/>
      <c r="AH12" s="367"/>
      <c r="AI12" s="367"/>
      <c r="AJ12" s="367"/>
      <c r="AK12" s="367"/>
      <c r="AL12" s="157"/>
      <c r="AM12" s="162"/>
    </row>
    <row r="13" spans="2:39" x14ac:dyDescent="0.25">
      <c r="B13" s="356" t="s">
        <v>178</v>
      </c>
      <c r="C13" s="356"/>
      <c r="D13" s="359">
        <v>8</v>
      </c>
      <c r="E13" s="359"/>
      <c r="F13" s="359"/>
      <c r="G13" s="357">
        <v>0</v>
      </c>
      <c r="H13" s="357"/>
      <c r="I13" s="357"/>
      <c r="J13" s="357"/>
      <c r="K13" s="358">
        <v>0.1</v>
      </c>
      <c r="L13" s="358"/>
      <c r="M13" s="358"/>
      <c r="N13" s="358"/>
      <c r="O13" s="358"/>
      <c r="Q13" s="157"/>
      <c r="R13" s="366"/>
      <c r="S13" s="366"/>
      <c r="T13" s="157"/>
      <c r="U13" s="160"/>
      <c r="V13" s="160"/>
      <c r="W13" s="160"/>
      <c r="X13" s="157"/>
      <c r="Y13" s="157"/>
      <c r="Z13" s="157"/>
      <c r="AA13" s="161"/>
      <c r="AB13" s="157"/>
      <c r="AC13" s="157"/>
      <c r="AD13" s="157"/>
      <c r="AE13" s="157"/>
      <c r="AF13" s="157"/>
      <c r="AG13" s="367"/>
      <c r="AH13" s="367"/>
      <c r="AI13" s="367"/>
      <c r="AJ13" s="367"/>
      <c r="AK13" s="367"/>
      <c r="AL13" s="157"/>
      <c r="AM13" s="162"/>
    </row>
    <row r="14" spans="2:39" x14ac:dyDescent="0.25">
      <c r="B14" s="356"/>
      <c r="C14" s="356"/>
      <c r="D14" s="359"/>
      <c r="E14" s="359"/>
      <c r="F14" s="359"/>
      <c r="G14" s="357"/>
      <c r="H14" s="357"/>
      <c r="I14" s="357"/>
      <c r="J14" s="357"/>
      <c r="K14" s="358"/>
      <c r="L14" s="358"/>
      <c r="M14" s="358"/>
      <c r="N14" s="358"/>
      <c r="O14" s="358"/>
      <c r="Q14" s="157"/>
      <c r="R14" s="366"/>
      <c r="S14" s="366"/>
      <c r="T14" s="157"/>
      <c r="U14" s="160"/>
      <c r="V14" s="160"/>
      <c r="W14" s="160"/>
      <c r="X14" s="157"/>
      <c r="Y14" s="157"/>
      <c r="Z14" s="157"/>
      <c r="AA14" s="161"/>
      <c r="AB14" s="157"/>
      <c r="AC14" s="157"/>
      <c r="AD14" s="157"/>
      <c r="AE14" s="157"/>
      <c r="AF14" s="157"/>
      <c r="AG14" s="367"/>
      <c r="AH14" s="367"/>
      <c r="AI14" s="367"/>
      <c r="AJ14" s="367"/>
      <c r="AK14" s="367"/>
      <c r="AL14" s="157"/>
      <c r="AM14" s="162"/>
    </row>
    <row r="15" spans="2:39" x14ac:dyDescent="0.25">
      <c r="Q15" s="157"/>
      <c r="R15" s="366"/>
      <c r="S15" s="366"/>
      <c r="T15" s="157"/>
      <c r="U15" s="160"/>
      <c r="V15" s="160"/>
      <c r="W15" s="160"/>
      <c r="X15" s="157"/>
      <c r="Y15" s="157"/>
      <c r="Z15" s="157"/>
      <c r="AA15" s="161"/>
      <c r="AB15" s="157"/>
      <c r="AC15" s="157"/>
      <c r="AD15" s="157"/>
      <c r="AE15" s="157"/>
      <c r="AF15" s="157"/>
      <c r="AG15" s="367"/>
      <c r="AH15" s="367"/>
      <c r="AI15" s="367"/>
      <c r="AJ15" s="367"/>
      <c r="AK15" s="367"/>
      <c r="AL15" s="157"/>
      <c r="AM15" s="162"/>
    </row>
    <row r="16" spans="2:39" x14ac:dyDescent="0.25">
      <c r="Q16" s="157"/>
      <c r="R16" s="366"/>
      <c r="S16" s="366"/>
      <c r="T16" s="157"/>
      <c r="U16" s="160"/>
      <c r="V16" s="160"/>
      <c r="W16" s="160"/>
      <c r="X16" s="157"/>
      <c r="Y16" s="157"/>
      <c r="Z16" s="157"/>
      <c r="AA16" s="161"/>
      <c r="AB16" s="157"/>
      <c r="AC16" s="157"/>
      <c r="AD16" s="157"/>
      <c r="AE16" s="157"/>
      <c r="AF16" s="157"/>
      <c r="AG16" s="367"/>
      <c r="AH16" s="367"/>
      <c r="AI16" s="367"/>
      <c r="AJ16" s="367"/>
      <c r="AK16" s="367"/>
      <c r="AL16" s="157"/>
      <c r="AM16" s="162"/>
    </row>
    <row r="17" spans="2:39" x14ac:dyDescent="0.25">
      <c r="Q17" s="157"/>
      <c r="R17" s="366"/>
      <c r="S17" s="366"/>
      <c r="T17" s="157"/>
      <c r="U17" s="160"/>
      <c r="V17" s="160"/>
      <c r="W17" s="160"/>
      <c r="X17" s="157"/>
      <c r="Y17" s="157"/>
      <c r="Z17" s="157"/>
      <c r="AA17" s="161"/>
      <c r="AB17" s="157"/>
      <c r="AC17" s="157"/>
      <c r="AD17" s="157"/>
      <c r="AE17" s="157"/>
      <c r="AF17" s="157"/>
      <c r="AG17" s="367"/>
      <c r="AH17" s="367"/>
      <c r="AI17" s="367"/>
      <c r="AJ17" s="367"/>
      <c r="AK17" s="367"/>
      <c r="AL17" s="157"/>
      <c r="AM17" s="162"/>
    </row>
    <row r="18" spans="2:39" ht="15.75" x14ac:dyDescent="0.25">
      <c r="B18" s="354" t="s">
        <v>183</v>
      </c>
      <c r="C18" s="354"/>
      <c r="D18" s="112"/>
      <c r="E18" s="1"/>
      <c r="F18" s="113" t="s">
        <v>166</v>
      </c>
      <c r="G18" s="114"/>
      <c r="H18" s="352">
        <v>90666</v>
      </c>
      <c r="I18" s="352"/>
      <c r="L18" s="118"/>
      <c r="M18" s="118"/>
      <c r="N18" s="117"/>
      <c r="O18" s="118"/>
      <c r="P18" s="119"/>
      <c r="Q18" s="157"/>
      <c r="R18" s="366"/>
      <c r="S18" s="366"/>
      <c r="T18" s="157"/>
      <c r="U18" s="160"/>
      <c r="V18" s="160"/>
      <c r="W18" s="160"/>
      <c r="X18" s="157"/>
      <c r="Y18" s="157"/>
      <c r="Z18" s="157"/>
      <c r="AA18" s="161"/>
      <c r="AB18" s="157"/>
      <c r="AC18" s="157"/>
      <c r="AD18" s="157"/>
      <c r="AE18" s="157"/>
      <c r="AF18" s="157"/>
      <c r="AG18" s="367"/>
      <c r="AH18" s="367"/>
      <c r="AI18" s="367"/>
      <c r="AJ18" s="367"/>
      <c r="AK18" s="367"/>
      <c r="AL18" s="157"/>
      <c r="AM18" s="162"/>
    </row>
    <row r="19" spans="2:39" x14ac:dyDescent="0.25">
      <c r="B19" s="355" t="s">
        <v>179</v>
      </c>
      <c r="C19" s="355"/>
      <c r="F19" s="113" t="s">
        <v>182</v>
      </c>
      <c r="G19" s="114"/>
      <c r="H19" s="352">
        <f>H18*K13</f>
        <v>9066.6</v>
      </c>
      <c r="I19" s="352"/>
      <c r="L19" s="118"/>
      <c r="M19" s="120"/>
      <c r="N19" s="117"/>
      <c r="O19" s="118"/>
      <c r="P19" s="119"/>
      <c r="Q19" s="157"/>
      <c r="R19" s="366"/>
      <c r="S19" s="366"/>
      <c r="T19" s="157"/>
      <c r="U19" s="160"/>
      <c r="V19" s="160"/>
      <c r="W19" s="160"/>
      <c r="X19" s="157"/>
      <c r="Y19" s="157"/>
      <c r="Z19" s="157"/>
      <c r="AA19" s="161"/>
      <c r="AB19" s="157"/>
      <c r="AC19" s="157"/>
      <c r="AD19" s="157"/>
      <c r="AE19" s="157"/>
      <c r="AF19" s="157"/>
      <c r="AG19" s="367"/>
      <c r="AH19" s="367"/>
      <c r="AI19" s="367"/>
      <c r="AJ19" s="367"/>
      <c r="AK19" s="367"/>
      <c r="AL19" s="157"/>
      <c r="AM19" s="162"/>
    </row>
    <row r="20" spans="2:39" x14ac:dyDescent="0.25">
      <c r="F20" s="113" t="s">
        <v>180</v>
      </c>
      <c r="G20" s="114"/>
      <c r="H20" s="352">
        <f>(H18-H19)/D13</f>
        <v>10199.924999999999</v>
      </c>
      <c r="I20" s="352"/>
      <c r="L20" s="117"/>
      <c r="M20" s="117"/>
      <c r="N20" s="117"/>
      <c r="O20" s="118"/>
      <c r="P20" s="119"/>
      <c r="Q20" s="157"/>
      <c r="R20" s="366"/>
      <c r="S20" s="366"/>
      <c r="T20" s="157"/>
      <c r="U20" s="160"/>
      <c r="V20" s="160"/>
      <c r="W20" s="160"/>
      <c r="X20" s="157"/>
      <c r="Y20" s="157"/>
      <c r="Z20" s="157"/>
      <c r="AA20" s="161"/>
      <c r="AB20" s="157"/>
      <c r="AC20" s="157"/>
      <c r="AD20" s="157"/>
      <c r="AE20" s="157"/>
      <c r="AF20" s="157"/>
      <c r="AG20" s="367"/>
      <c r="AH20" s="367"/>
      <c r="AI20" s="367"/>
      <c r="AJ20" s="367"/>
      <c r="AK20" s="367"/>
      <c r="AL20" s="157"/>
      <c r="AM20" s="162"/>
    </row>
    <row r="21" spans="2:39" x14ac:dyDescent="0.25">
      <c r="F21" s="113" t="s">
        <v>181</v>
      </c>
      <c r="G21" s="114"/>
      <c r="H21" s="352">
        <f>$H$20/12</f>
        <v>849.99374999999998</v>
      </c>
      <c r="I21" s="353"/>
      <c r="L21" s="117"/>
      <c r="M21" s="117"/>
      <c r="N21" s="117"/>
      <c r="O21" s="118"/>
      <c r="P21" s="119"/>
      <c r="Q21" s="157"/>
      <c r="R21" s="366"/>
      <c r="S21" s="366"/>
      <c r="T21" s="157"/>
      <c r="U21" s="160"/>
      <c r="V21" s="160"/>
      <c r="W21" s="160"/>
      <c r="X21" s="157"/>
      <c r="Y21" s="157"/>
      <c r="Z21" s="157"/>
      <c r="AA21" s="161"/>
      <c r="AB21" s="157"/>
      <c r="AC21" s="157"/>
      <c r="AD21" s="157"/>
      <c r="AE21" s="157"/>
      <c r="AF21" s="157"/>
      <c r="AG21" s="367"/>
      <c r="AH21" s="367"/>
      <c r="AI21" s="367"/>
      <c r="AJ21" s="367"/>
      <c r="AK21" s="367"/>
      <c r="AL21" s="157"/>
      <c r="AM21" s="162"/>
    </row>
    <row r="22" spans="2:39" x14ac:dyDescent="0.25">
      <c r="Q22" s="157"/>
      <c r="R22" s="366"/>
      <c r="S22" s="366"/>
      <c r="T22" s="157"/>
      <c r="U22" s="160"/>
      <c r="V22" s="160"/>
      <c r="W22" s="160"/>
      <c r="X22" s="157"/>
      <c r="Y22" s="157"/>
      <c r="Z22" s="157"/>
      <c r="AA22" s="161"/>
      <c r="AB22" s="157"/>
      <c r="AC22" s="157"/>
      <c r="AD22" s="157"/>
      <c r="AE22" s="157"/>
      <c r="AF22" s="157"/>
      <c r="AG22" s="367"/>
      <c r="AH22" s="367"/>
      <c r="AI22" s="367"/>
      <c r="AJ22" s="367"/>
      <c r="AK22" s="367"/>
      <c r="AL22" s="157"/>
      <c r="AM22" s="162"/>
    </row>
    <row r="23" spans="2:39" x14ac:dyDescent="0.25">
      <c r="Q23" s="157"/>
      <c r="R23" s="366"/>
      <c r="S23" s="366"/>
      <c r="T23" s="157"/>
      <c r="U23" s="160"/>
      <c r="V23" s="160"/>
      <c r="W23" s="160"/>
      <c r="X23" s="157"/>
      <c r="Y23" s="157"/>
      <c r="Z23" s="157"/>
      <c r="AA23" s="161"/>
      <c r="AB23" s="157"/>
      <c r="AC23" s="157"/>
      <c r="AD23" s="157"/>
      <c r="AE23" s="157"/>
      <c r="AF23" s="157"/>
      <c r="AG23" s="367"/>
      <c r="AH23" s="367"/>
      <c r="AI23" s="367"/>
      <c r="AJ23" s="367"/>
      <c r="AK23" s="367"/>
      <c r="AL23" s="157"/>
      <c r="AM23" s="162"/>
    </row>
    <row r="24" spans="2:39" x14ac:dyDescent="0.25">
      <c r="Q24" s="157"/>
      <c r="R24" s="366"/>
      <c r="S24" s="366"/>
      <c r="T24" s="157"/>
      <c r="U24" s="160"/>
      <c r="V24" s="160"/>
      <c r="W24" s="160"/>
      <c r="X24" s="157"/>
      <c r="Y24" s="157"/>
      <c r="Z24" s="157"/>
      <c r="AA24" s="161"/>
      <c r="AB24" s="157"/>
      <c r="AC24" s="157"/>
      <c r="AD24" s="157"/>
      <c r="AE24" s="157"/>
      <c r="AF24" s="157"/>
      <c r="AG24" s="367"/>
      <c r="AH24" s="367"/>
      <c r="AI24" s="367"/>
      <c r="AJ24" s="367"/>
      <c r="AK24" s="367"/>
      <c r="AL24" s="157"/>
      <c r="AM24" s="162"/>
    </row>
    <row r="25" spans="2:39" x14ac:dyDescent="0.25">
      <c r="Q25" s="157"/>
      <c r="R25" s="366"/>
      <c r="S25" s="366"/>
      <c r="T25" s="157"/>
      <c r="U25" s="160"/>
      <c r="V25" s="160"/>
      <c r="W25" s="157"/>
      <c r="X25" s="157"/>
      <c r="Y25" s="157"/>
      <c r="Z25" s="157"/>
      <c r="AA25" s="161"/>
      <c r="AB25" s="157"/>
      <c r="AC25" s="157"/>
      <c r="AD25" s="157"/>
      <c r="AE25" s="157"/>
      <c r="AF25" s="157"/>
      <c r="AG25" s="367"/>
      <c r="AH25" s="367"/>
      <c r="AI25" s="367"/>
      <c r="AJ25" s="367"/>
      <c r="AK25" s="367"/>
      <c r="AL25" s="157"/>
      <c r="AM25" s="162"/>
    </row>
  </sheetData>
  <mergeCells count="52">
    <mergeCell ref="E8:I8"/>
    <mergeCell ref="Q6:AM6"/>
    <mergeCell ref="R24:S24"/>
    <mergeCell ref="AG24:AK24"/>
    <mergeCell ref="R18:S18"/>
    <mergeCell ref="AG18:AK18"/>
    <mergeCell ref="R19:S19"/>
    <mergeCell ref="AG19:AK19"/>
    <mergeCell ref="R20:S20"/>
    <mergeCell ref="AG20:AK20"/>
    <mergeCell ref="R15:S15"/>
    <mergeCell ref="AG15:AK15"/>
    <mergeCell ref="R16:S16"/>
    <mergeCell ref="AG16:AK16"/>
    <mergeCell ref="R17:S17"/>
    <mergeCell ref="AG17:AK17"/>
    <mergeCell ref="R25:S25"/>
    <mergeCell ref="AG25:AK25"/>
    <mergeCell ref="R21:S21"/>
    <mergeCell ref="AG21:AK21"/>
    <mergeCell ref="R22:S22"/>
    <mergeCell ref="AG22:AK22"/>
    <mergeCell ref="R23:S23"/>
    <mergeCell ref="AG23:AK23"/>
    <mergeCell ref="R13:S13"/>
    <mergeCell ref="AG13:AK13"/>
    <mergeCell ref="R14:S14"/>
    <mergeCell ref="AG14:AK14"/>
    <mergeCell ref="AA11:AK11"/>
    <mergeCell ref="R12:S12"/>
    <mergeCell ref="AG12:AK12"/>
    <mergeCell ref="B9:O9"/>
    <mergeCell ref="B10:C12"/>
    <mergeCell ref="D10:J10"/>
    <mergeCell ref="K10:O11"/>
    <mergeCell ref="D11:F11"/>
    <mergeCell ref="G11:J11"/>
    <mergeCell ref="D12:F12"/>
    <mergeCell ref="G12:J12"/>
    <mergeCell ref="K12:O12"/>
    <mergeCell ref="D2:H2"/>
    <mergeCell ref="I4:M4"/>
    <mergeCell ref="H20:I20"/>
    <mergeCell ref="H21:I21"/>
    <mergeCell ref="B18:C18"/>
    <mergeCell ref="B19:C19"/>
    <mergeCell ref="H18:I18"/>
    <mergeCell ref="H19:I19"/>
    <mergeCell ref="B13:C14"/>
    <mergeCell ref="D13:F14"/>
    <mergeCell ref="G13:J14"/>
    <mergeCell ref="K13:O14"/>
  </mergeCells>
  <pageMargins left="0.511811024" right="0.511811024" top="0.78740157499999996" bottom="0.78740157499999996" header="0.31496062000000002" footer="0.31496062000000002"/>
  <pageSetup paperSize="9" scale="5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0" r:id="rId4">
          <objectPr defaultSize="0" autoPict="0" r:id="rId5">
            <anchor moveWithCells="1" sizeWithCells="1">
              <from>
                <xdr:col>5</xdr:col>
                <xdr:colOff>466725</xdr:colOff>
                <xdr:row>0</xdr:row>
                <xdr:rowOff>161925</xdr:rowOff>
              </from>
              <to>
                <xdr:col>7</xdr:col>
                <xdr:colOff>57150</xdr:colOff>
                <xdr:row>2</xdr:row>
                <xdr:rowOff>114300</xdr:rowOff>
              </to>
            </anchor>
          </objectPr>
        </oleObject>
      </mc:Choice>
      <mc:Fallback>
        <oleObject progId="Word.Picture.8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COMPOSIÇÃO DOS CUSTOS</vt:lpstr>
      <vt:lpstr>CUSTO COM PESSOAL</vt:lpstr>
      <vt:lpstr>PERCENTUAL FOLHA DE PESSOAL</vt:lpstr>
      <vt:lpstr>DEPRECIAÇÃO LINEAR</vt:lpstr>
      <vt:lpstr>'COMPOSIÇÃO DOS CUSTOS'!Area_de_impressao</vt:lpstr>
      <vt:lpstr>'CUSTO COM PESSOAL'!Area_de_impressao</vt:lpstr>
      <vt:lpstr>'DEPRECIAÇÃO LINEAR'!Area_de_impressao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61697605249</dc:creator>
  <cp:lastModifiedBy>Compras</cp:lastModifiedBy>
  <cp:lastPrinted>2018-12-06T23:00:48Z</cp:lastPrinted>
  <dcterms:created xsi:type="dcterms:W3CDTF">2016-09-12T18:52:43Z</dcterms:created>
  <dcterms:modified xsi:type="dcterms:W3CDTF">2018-12-06T23:45:04Z</dcterms:modified>
</cp:coreProperties>
</file>